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24226"/>
  <mc:AlternateContent xmlns:mc="http://schemas.openxmlformats.org/markup-compatibility/2006">
    <mc:Choice Requires="x15">
      <x15ac:absPath xmlns:x15ac="http://schemas.microsoft.com/office/spreadsheetml/2010/11/ac" url="/Users/admin/Downloads/"/>
    </mc:Choice>
  </mc:AlternateContent>
  <xr:revisionPtr revIDLastSave="0" documentId="13_ncr:1_{7E433389-A7AB-814E-AB5A-EEA6B9445D7B}" xr6:coauthVersionLast="45" xr6:coauthVersionMax="47" xr10:uidLastSave="{00000000-0000-0000-0000-000000000000}"/>
  <bookViews>
    <workbookView xWindow="0" yWindow="460" windowWidth="25600" windowHeight="15540" activeTab="4" xr2:uid="{00000000-000D-0000-FFFF-FFFF00000000}"/>
  </bookViews>
  <sheets>
    <sheet name="Uitkeringstesten" sheetId="3" r:id="rId1"/>
    <sheet name="Financieel plan" sheetId="1" r:id="rId2"/>
    <sheet name="Invulblad RR" sheetId="5" r:id="rId3"/>
    <sheet name="Inbreng" sheetId="8" r:id="rId4"/>
    <sheet name="Investeringen" sheetId="7" r:id="rId5"/>
    <sheet name="Samenvatting" sheetId="4" r:id="rId6"/>
    <sheet name="DISCLAIMER" sheetId="2" r:id="rId7"/>
  </sheets>
  <definedNames>
    <definedName name="Aantal_maanden_BKJ1">'Invulblad RR'!$K$1</definedName>
    <definedName name="_xlnm.Print_Area" localSheetId="1">'Financieel plan'!$B$20:$J$329</definedName>
    <definedName name="_xlnm.Print_Titles" localSheetId="1">'Financieel plan'!$2:$6</definedName>
    <definedName name="Afs_InstalMachUitr_J1">'Financieel plan'!$I$96</definedName>
    <definedName name="Afs_InstaMachUitr_J2">'Financieel plan'!$J$96</definedName>
    <definedName name="Afs_IVA_J1">'Financieel plan'!$I$92</definedName>
    <definedName name="Afs_IVA_J2">'Financieel plan'!$J$92</definedName>
    <definedName name="Afs_Leasing_J1">'Financieel plan'!$I$98</definedName>
    <definedName name="Afs_Leasing_J2">'Financieel plan'!$J$98</definedName>
    <definedName name="Afs_MeubRol_J1">'Financieel plan'!$I$97</definedName>
    <definedName name="Afs_MeubRol_J2">'Financieel plan'!$J$97</definedName>
    <definedName name="Afs_MVA_J1">'Financieel plan'!$I$94</definedName>
    <definedName name="Afs_MVA_J2">'Financieel plan'!$J$94</definedName>
    <definedName name="Afs_OK_J1">'Financieel plan'!$I$90</definedName>
    <definedName name="Afs_OK_J2">'Financieel plan'!$J$90</definedName>
    <definedName name="Afs_OverigeMVA_J1">'Financieel plan'!#REF!</definedName>
    <definedName name="Afs_OverigeMVA_J2">'Financieel plan'!#REF!</definedName>
    <definedName name="Afs_TerGeb_J1">'Financieel plan'!$I$95</definedName>
    <definedName name="Afs_TerGeb_J2">'Financieel plan'!$J$95</definedName>
    <definedName name="Afs_Tot_J1">'Financieel plan'!$I$100</definedName>
    <definedName name="Afs_Tot_J2">'Financieel plan'!$J$100</definedName>
    <definedName name="ALening_Kort_Aflos_J1">'Financieel plan'!$J$109</definedName>
    <definedName name="ALening_Kort_Aflos_J2">'Financieel plan'!$J$113</definedName>
    <definedName name="ALening_Kort_J1">'Financieel plan'!$J$111</definedName>
    <definedName name="ALening_Kort_J2">'Financieel plan'!$J$115</definedName>
    <definedName name="ALening_Kort_Nieuw_J1">'Financieel plan'!$J$108</definedName>
    <definedName name="ALening_Kort_Nieuw_J2">'Financieel plan'!$J$112</definedName>
    <definedName name="ALening_Lang_J1">'Financieel plan'!$I$111</definedName>
    <definedName name="ALening_Lang_J2">'Financieel plan'!$I$115</definedName>
    <definedName name="ALening_Lang_Nieuw_J1">'Financieel plan'!$I$108</definedName>
    <definedName name="Alening_Lang_Nieuw_J2">'Financieel plan'!$I$112</definedName>
    <definedName name="Boekjaar_2">'Invulblad RR'!$K$1</definedName>
    <definedName name="CashFlow_J1">'Financieel plan'!$I$320</definedName>
    <definedName name="CashFlow_J2">'Financieel plan'!$J$320</definedName>
    <definedName name="CP_INBRENG">#REF!</definedName>
    <definedName name="CP_Totaal_inbreng">#REF!</definedName>
    <definedName name="CP_Totaal_inbreng_Bkj1">Inbreng!$E$10</definedName>
    <definedName name="EBIT_J1">'Financieel plan'!$I$157</definedName>
    <definedName name="EBIT_J2">'Financieel plan'!$J$157</definedName>
    <definedName name="Eind_Voorraad_J0">'Financieel plan'!$H$217</definedName>
    <definedName name="Eind_Voorraad_J1">'Financieel plan'!$I$128</definedName>
    <definedName name="Eind_Voorraad_J2">'Financieel plan'!$J$128</definedName>
    <definedName name="Fin_Bron_Kort">'Financieel plan'!$H$59</definedName>
    <definedName name="Fin_Bron_Lang">'Financieel plan'!$H$58</definedName>
    <definedName name="Fin_Bron_Tot">'Financieel plan'!$H$61</definedName>
    <definedName name="FinKost_J1">'Financieel plan'!$I$170</definedName>
    <definedName name="FinKost_J2">'Financieel plan'!$J$170</definedName>
    <definedName name="FinOpbr_J1">'Financieel plan'!$I$167</definedName>
    <definedName name="FinOpbr_J2">'Financieel plan'!$J$167</definedName>
    <definedName name="Inbr_Geld">'Financieel plan'!$H$28</definedName>
    <definedName name="Inbr_InstalMachUitr">'Financieel plan'!$H$38</definedName>
    <definedName name="Inbr_IVA">'Financieel plan'!$H$35</definedName>
    <definedName name="Inbr_Klanten">'Financieel plan'!$H$45</definedName>
    <definedName name="Inbr_Leasing">'Financieel plan'!$H$40</definedName>
    <definedName name="Inbr_Lening_Kort">'Financieel plan'!$H$50</definedName>
    <definedName name="Inbr_Lening_lang">'Financieel plan'!$H$49</definedName>
    <definedName name="Inbr_Leveranciers">'Financieel plan'!$H$51</definedName>
    <definedName name="Inbr_MeubRol">'Financieel plan'!$H$39</definedName>
    <definedName name="Inbr_MVA">'Financieel plan'!$H$36</definedName>
    <definedName name="Inbr_Natura_Netto">'Financieel plan'!$H$53</definedName>
    <definedName name="Inbr_Overige_Schulden">'Financieel plan'!#REF!</definedName>
    <definedName name="Inbr_Overige_Vord">'Financieel plan'!$H$46</definedName>
    <definedName name="Inbr_OverigeMVA">'Financieel plan'!#REF!</definedName>
    <definedName name="Inbr_TerGeb">'Financieel plan'!$H$37</definedName>
    <definedName name="Inbr_Voorraad">'Financieel plan'!$H$43</definedName>
    <definedName name="Inv_IstalMachUitr_J1">'Financieel plan'!$I$78</definedName>
    <definedName name="Inv_IstalMachUitr_J2">'Financieel plan'!$J$78</definedName>
    <definedName name="Inv_IVA_J1">'Financieel plan'!$I$74</definedName>
    <definedName name="Inv_IVA_J2">'Financieel plan'!$J$74</definedName>
    <definedName name="Inv_Leasing_J1">'Financieel plan'!$I$80</definedName>
    <definedName name="Inv_Leasing_J2">'Financieel plan'!$J$80</definedName>
    <definedName name="Inv_MeubRol_J1">'Financieel plan'!$I$79</definedName>
    <definedName name="Inv_MeubRol_J2">'Financieel plan'!$J$79</definedName>
    <definedName name="Inv_MVA_J1">'Financieel plan'!$I$76</definedName>
    <definedName name="Inv_MVA_J2">'Financieel plan'!$J$76</definedName>
    <definedName name="Inv_OK_J1">'Financieel plan'!$I$72</definedName>
    <definedName name="Inv_OverigeMVA_J1">'Financieel plan'!#REF!</definedName>
    <definedName name="Inv_OverigeMVA_J2">'Financieel plan'!#REF!</definedName>
    <definedName name="Inv_TerGeb_J1">'Financieel plan'!$I$77</definedName>
    <definedName name="Inv_TerGeb_J2">'Financieel plan'!$J$77</definedName>
    <definedName name="Inv_Tot_J0">'Financieel plan'!$H$82</definedName>
    <definedName name="Inv_Tot_J1">'Financieel plan'!$I$82</definedName>
    <definedName name="Inv_Tot_J2">'Financieel plan'!$J$82</definedName>
    <definedName name="Klanten_J0">'Financieel plan'!$H$220</definedName>
    <definedName name="Klanten_J1">'Financieel plan'!$I$220</definedName>
    <definedName name="Klanten_J2">'Financieel plan'!$J$220</definedName>
    <definedName name="Lengte_BKJ1">'Invulblad RR'!$K$4</definedName>
    <definedName name="Lengte_Boekjaar">'Invulblad RR'!$K$4</definedName>
    <definedName name="Lening_Kort_Aflos_J1">'Financieel plan'!$H$109</definedName>
    <definedName name="Lening_Kort_Aflos_J2">'Financieel plan'!$H$113</definedName>
    <definedName name="Lening_Kort_J1">'Financieel plan'!$H$111</definedName>
    <definedName name="Lening_Kort_J2">'Financieel plan'!$H$115</definedName>
    <definedName name="Lening_Kort_Nieuw_J1">'Financieel plan'!$H$108</definedName>
    <definedName name="Lening_Kort_Nieuw_J2">'Financieel plan'!$H$112</definedName>
    <definedName name="Lening_Lang_J1">'Financieel plan'!$G$111</definedName>
    <definedName name="Lening_Lang_J2">'Financieel plan'!$G$115</definedName>
    <definedName name="Lening_Lang_Nieuw_J1">'Financieel plan'!$G$108</definedName>
    <definedName name="Lening_Lang_Nieuw_J2">'Financieel plan'!$G$112</definedName>
    <definedName name="Leveranciers_J0">'Financieel plan'!$H$266</definedName>
    <definedName name="Leveranciers_J1">'Financieel plan'!$I$266</definedName>
    <definedName name="Leveranciers_J2">'Financieel plan'!$J$266</definedName>
    <definedName name="LiqMid_J0">'Financieel plan'!$H$225</definedName>
    <definedName name="LiqMid_J1">'Financieel plan'!$I$225</definedName>
    <definedName name="LiqMid_J2">'Financieel plan'!$J$225</definedName>
    <definedName name="OVord_J0">'Financieel plan'!$H$221</definedName>
    <definedName name="OVord_J1">'Financieel plan'!$I$221</definedName>
    <definedName name="OVord_J2">'Financieel plan'!$J$221</definedName>
    <definedName name="SocFisc_Schuld_J0">'Financieel plan'!$H$268</definedName>
    <definedName name="SocFisc_SChuld_J1">'Financieel plan'!$I$268</definedName>
    <definedName name="SocFisc_Schuld_J2">'Financieel plan'!$J$268</definedName>
    <definedName name="Tot_Act_J0">'Financieel plan'!$H$229</definedName>
    <definedName name="Tot_Act_J1">'Financieel plan'!$I$229</definedName>
    <definedName name="Tot_Act_J2">'Financieel plan'!$J$229</definedName>
    <definedName name="Tot_Pas_J0">'Financieel plan'!$H$276</definedName>
    <definedName name="Tot_Pas_J1">'Financieel plan'!$I$276</definedName>
    <definedName name="Tot_Pas_J2">'Financieel plan'!$J$276</definedName>
    <definedName name="TOTAAL_INBRENG">#REF!</definedName>
    <definedName name="VenB_J1">'Financieel plan'!$I$179</definedName>
    <definedName name="VenB_J2">'Financieel plan'!$J$179</definedName>
  </definedNames>
  <calcPr calcId="191028"/>
</workbook>
</file>

<file path=xl/calcChain.xml><?xml version="1.0" encoding="utf-8"?>
<calcChain xmlns="http://schemas.openxmlformats.org/spreadsheetml/2006/main">
  <c r="C29" i="5" l="1"/>
  <c r="D23" i="5"/>
  <c r="E23" i="5" s="1"/>
  <c r="D13" i="5"/>
  <c r="E13" i="5" s="1"/>
  <c r="G48" i="5" l="1"/>
  <c r="C19" i="5"/>
  <c r="D19" i="5"/>
  <c r="E19" i="5" s="1"/>
  <c r="C20" i="5"/>
  <c r="D20" i="5"/>
  <c r="E20" i="5" s="1"/>
  <c r="C21" i="5"/>
  <c r="D21" i="5"/>
  <c r="E21" i="5" s="1"/>
  <c r="C22" i="5"/>
  <c r="D22" i="5"/>
  <c r="E22" i="5" s="1"/>
  <c r="G32" i="5"/>
  <c r="D32" i="5"/>
  <c r="E32" i="5"/>
  <c r="C32" i="5"/>
  <c r="G28" i="5"/>
  <c r="D30" i="5"/>
  <c r="E30" i="5" s="1"/>
  <c r="C30" i="5"/>
  <c r="D29" i="5"/>
  <c r="G16" i="5"/>
  <c r="D18" i="5"/>
  <c r="E18" i="5" s="1"/>
  <c r="C18" i="5"/>
  <c r="D17" i="5"/>
  <c r="C17" i="5"/>
  <c r="D12" i="5"/>
  <c r="E12" i="5" s="1"/>
  <c r="C12" i="5"/>
  <c r="D11" i="5"/>
  <c r="E11" i="5" s="1"/>
  <c r="C11" i="5"/>
  <c r="D10" i="5"/>
  <c r="E10" i="5" s="1"/>
  <c r="C10" i="5"/>
  <c r="D9" i="5"/>
  <c r="E9" i="5" s="1"/>
  <c r="C9" i="5"/>
  <c r="D8" i="5"/>
  <c r="E8" i="5" s="1"/>
  <c r="C8" i="5"/>
  <c r="G7" i="5"/>
  <c r="C60" i="5"/>
  <c r="D60" i="5"/>
  <c r="E60" i="5" s="1"/>
  <c r="G25" i="5" l="1"/>
  <c r="G26" i="5" s="1"/>
  <c r="E29" i="5"/>
  <c r="C16" i="5"/>
  <c r="D16" i="5"/>
  <c r="E17" i="5"/>
  <c r="E16" i="5" s="1"/>
  <c r="D7" i="5"/>
  <c r="C7" i="5"/>
  <c r="E7" i="5"/>
  <c r="G35" i="5" l="1"/>
  <c r="C25" i="5"/>
  <c r="C26" i="5" s="1"/>
  <c r="D25" i="5"/>
  <c r="E25" i="5"/>
  <c r="J144" i="1"/>
  <c r="J143" i="1"/>
  <c r="J141" i="1"/>
  <c r="I144" i="1"/>
  <c r="I143" i="1"/>
  <c r="I141" i="1"/>
  <c r="D26" i="5" l="1"/>
  <c r="D35" i="5"/>
  <c r="E26" i="5"/>
  <c r="E35" i="5"/>
  <c r="D92" i="5"/>
  <c r="E92" i="5"/>
  <c r="D98" i="5"/>
  <c r="E98" i="5"/>
  <c r="D108" i="5" l="1"/>
  <c r="C108" i="5"/>
  <c r="C40" i="4" s="1"/>
  <c r="D106" i="5"/>
  <c r="E106" i="5" s="1"/>
  <c r="C106" i="5"/>
  <c r="C105" i="5"/>
  <c r="D88" i="5"/>
  <c r="E88" i="5" s="1"/>
  <c r="C88" i="5"/>
  <c r="D87" i="5"/>
  <c r="E87" i="5" s="1"/>
  <c r="C87" i="5"/>
  <c r="C84" i="5"/>
  <c r="C83" i="5"/>
  <c r="D83" i="5"/>
  <c r="E83" i="5" s="1"/>
  <c r="D82" i="5"/>
  <c r="E82" i="5" s="1"/>
  <c r="C82" i="5"/>
  <c r="C89" i="5" s="1"/>
  <c r="D73" i="5"/>
  <c r="E73" i="5" s="1"/>
  <c r="C73" i="5"/>
  <c r="D72" i="5"/>
  <c r="E72" i="5" s="1"/>
  <c r="C72" i="5"/>
  <c r="D71" i="5"/>
  <c r="E71" i="5" s="1"/>
  <c r="C71" i="5"/>
  <c r="D70" i="5"/>
  <c r="E70" i="5" s="1"/>
  <c r="C70" i="5"/>
  <c r="D69" i="5"/>
  <c r="E69" i="5" s="1"/>
  <c r="C69" i="5"/>
  <c r="D68" i="5"/>
  <c r="E68" i="5" s="1"/>
  <c r="C68" i="5"/>
  <c r="D67" i="5"/>
  <c r="E67" i="5" s="1"/>
  <c r="C67" i="5"/>
  <c r="C46" i="5"/>
  <c r="D46" i="5"/>
  <c r="E46" i="5" s="1"/>
  <c r="C47" i="5"/>
  <c r="D47" i="5"/>
  <c r="E47" i="5" s="1"/>
  <c r="C48" i="5"/>
  <c r="D48" i="5"/>
  <c r="E48" i="5" s="1"/>
  <c r="C49" i="5"/>
  <c r="D49" i="5"/>
  <c r="E49" i="5" s="1"/>
  <c r="C50" i="5"/>
  <c r="D50" i="5"/>
  <c r="E50" i="5" s="1"/>
  <c r="C51" i="5"/>
  <c r="D51" i="5"/>
  <c r="E51" i="5" s="1"/>
  <c r="C52" i="5"/>
  <c r="D52" i="5"/>
  <c r="E52" i="5" s="1"/>
  <c r="C53" i="5"/>
  <c r="D53" i="5"/>
  <c r="E53" i="5" s="1"/>
  <c r="C54" i="5"/>
  <c r="D54" i="5"/>
  <c r="E54" i="5" s="1"/>
  <c r="C55" i="5"/>
  <c r="D55" i="5"/>
  <c r="E55" i="5" s="1"/>
  <c r="C56" i="5"/>
  <c r="D56" i="5"/>
  <c r="E56" i="5" s="1"/>
  <c r="C57" i="5"/>
  <c r="D57" i="5"/>
  <c r="E57" i="5" s="1"/>
  <c r="C58" i="5"/>
  <c r="D58" i="5"/>
  <c r="C59" i="5"/>
  <c r="D59" i="5"/>
  <c r="E59" i="5" s="1"/>
  <c r="C61" i="5"/>
  <c r="D61" i="5"/>
  <c r="E61" i="5" s="1"/>
  <c r="C62" i="5"/>
  <c r="D62" i="5"/>
  <c r="E62" i="5" s="1"/>
  <c r="C63" i="5"/>
  <c r="D63" i="5"/>
  <c r="E63" i="5" s="1"/>
  <c r="C64" i="5"/>
  <c r="D64" i="5"/>
  <c r="E64" i="5" s="1"/>
  <c r="C65" i="5"/>
  <c r="D65" i="5"/>
  <c r="E65" i="5" s="1"/>
  <c r="D45" i="5"/>
  <c r="E45" i="5" s="1"/>
  <c r="D76" i="5"/>
  <c r="E76" i="5" s="1"/>
  <c r="C76" i="5"/>
  <c r="D66" i="5"/>
  <c r="E66" i="5" s="1"/>
  <c r="C66" i="5"/>
  <c r="C45" i="5"/>
  <c r="D43" i="5"/>
  <c r="E43" i="5" s="1"/>
  <c r="D44" i="5"/>
  <c r="D42" i="5"/>
  <c r="E108" i="5" l="1"/>
  <c r="E40" i="4" s="1"/>
  <c r="D40" i="4"/>
  <c r="E20" i="4"/>
  <c r="D16" i="4"/>
  <c r="J140" i="1" s="1"/>
  <c r="D20" i="4"/>
  <c r="E14" i="4"/>
  <c r="C16" i="4"/>
  <c r="I140" i="1" s="1"/>
  <c r="E44" i="5"/>
  <c r="E12" i="4" s="1"/>
  <c r="D12" i="4"/>
  <c r="J138" i="1" s="1"/>
  <c r="C20" i="4"/>
  <c r="I142" i="1" s="1"/>
  <c r="D14" i="4"/>
  <c r="J139" i="1" s="1"/>
  <c r="E42" i="5"/>
  <c r="E10" i="4" s="1"/>
  <c r="D10" i="4"/>
  <c r="J137" i="1" s="1"/>
  <c r="C14" i="4"/>
  <c r="I139" i="1" s="1"/>
  <c r="E58" i="5"/>
  <c r="E16" i="4" s="1"/>
  <c r="D84" i="5"/>
  <c r="E84" i="5" s="1"/>
  <c r="D89" i="5"/>
  <c r="E89" i="5" s="1"/>
  <c r="D77" i="5"/>
  <c r="E26" i="4" l="1"/>
  <c r="D26" i="4"/>
  <c r="J142" i="1"/>
  <c r="D85" i="5"/>
  <c r="D86" i="5"/>
  <c r="D78" i="5"/>
  <c r="C57" i="7" l="1"/>
  <c r="D57" i="7"/>
  <c r="E57" i="7"/>
  <c r="C58" i="7"/>
  <c r="D58" i="7"/>
  <c r="E58" i="7"/>
  <c r="C59" i="7"/>
  <c r="D59" i="7"/>
  <c r="E59" i="7"/>
  <c r="C60" i="7"/>
  <c r="D60" i="7"/>
  <c r="E60" i="7"/>
  <c r="C49" i="7"/>
  <c r="D49" i="7"/>
  <c r="E49" i="7"/>
  <c r="C50" i="7"/>
  <c r="D50" i="7"/>
  <c r="E50" i="7"/>
  <c r="C51" i="7"/>
  <c r="D51" i="7"/>
  <c r="E51" i="7"/>
  <c r="C52" i="7"/>
  <c r="D52" i="7"/>
  <c r="E52" i="7"/>
  <c r="C41" i="7"/>
  <c r="D41" i="7"/>
  <c r="E41" i="7"/>
  <c r="C42" i="7"/>
  <c r="D42" i="7"/>
  <c r="E42" i="7"/>
  <c r="C43" i="7"/>
  <c r="D43" i="7"/>
  <c r="E43" i="7"/>
  <c r="C44" i="7"/>
  <c r="D44" i="7"/>
  <c r="E44" i="7"/>
  <c r="C33" i="7"/>
  <c r="D33" i="7"/>
  <c r="E33" i="7"/>
  <c r="C34" i="7"/>
  <c r="D34" i="7"/>
  <c r="E34" i="7"/>
  <c r="C35" i="7"/>
  <c r="D35" i="7"/>
  <c r="E35" i="7"/>
  <c r="C36" i="7"/>
  <c r="D36" i="7"/>
  <c r="E36" i="7"/>
  <c r="C25" i="7"/>
  <c r="D25" i="7"/>
  <c r="E25" i="7"/>
  <c r="C26" i="7"/>
  <c r="D26" i="7"/>
  <c r="E26" i="7"/>
  <c r="C27" i="7"/>
  <c r="D27" i="7"/>
  <c r="E27" i="7"/>
  <c r="C28" i="7"/>
  <c r="D28" i="7"/>
  <c r="E28" i="7"/>
  <c r="C17" i="7"/>
  <c r="D17" i="7"/>
  <c r="E17" i="7"/>
  <c r="C18" i="7"/>
  <c r="D18" i="7"/>
  <c r="E18" i="7"/>
  <c r="C19" i="7"/>
  <c r="D19" i="7"/>
  <c r="E19" i="7"/>
  <c r="C20" i="7"/>
  <c r="D20" i="7"/>
  <c r="E20" i="7"/>
  <c r="C8" i="7"/>
  <c r="C9" i="7"/>
  <c r="C10" i="7"/>
  <c r="C11" i="7"/>
  <c r="C12" i="7"/>
  <c r="J79" i="1" l="1"/>
  <c r="J78" i="1"/>
  <c r="J74" i="1"/>
  <c r="J123" i="1" l="1"/>
  <c r="D102" i="5"/>
  <c r="D7" i="4" l="1"/>
  <c r="D75" i="5"/>
  <c r="D41" i="5"/>
  <c r="G108" i="1"/>
  <c r="D28" i="4" l="1"/>
  <c r="C7" i="7"/>
  <c r="C44" i="5"/>
  <c r="C12" i="4" s="1"/>
  <c r="I138" i="1" s="1"/>
  <c r="D30" i="4" l="1"/>
  <c r="J147" i="1"/>
  <c r="E5" i="8"/>
  <c r="E6" i="8"/>
  <c r="E7" i="8"/>
  <c r="E4" i="8"/>
  <c r="E10" i="8" l="1"/>
  <c r="H28" i="1" s="1"/>
  <c r="G91" i="5"/>
  <c r="E56" i="7"/>
  <c r="D56" i="7"/>
  <c r="C56" i="7"/>
  <c r="E48" i="7"/>
  <c r="D48" i="7"/>
  <c r="C48" i="7"/>
  <c r="E40" i="7"/>
  <c r="D40" i="7"/>
  <c r="C40" i="7"/>
  <c r="E32" i="7"/>
  <c r="D32" i="7"/>
  <c r="C32" i="7"/>
  <c r="M58" i="7"/>
  <c r="M60" i="7" s="1"/>
  <c r="M57" i="7"/>
  <c r="I54" i="7"/>
  <c r="H54" i="7"/>
  <c r="G54" i="7"/>
  <c r="M50" i="7"/>
  <c r="M52" i="7" s="1"/>
  <c r="M49" i="7"/>
  <c r="I46" i="7"/>
  <c r="H46" i="7"/>
  <c r="G46" i="7"/>
  <c r="I79" i="1" s="1"/>
  <c r="M43" i="7"/>
  <c r="H38" i="7"/>
  <c r="I38" i="7"/>
  <c r="G38" i="7"/>
  <c r="M41" i="7"/>
  <c r="M42" i="7" s="1"/>
  <c r="H30" i="7"/>
  <c r="I30" i="7"/>
  <c r="G30" i="7"/>
  <c r="I78" i="1" s="1"/>
  <c r="H22" i="7"/>
  <c r="I22" i="7"/>
  <c r="G22" i="7"/>
  <c r="M34" i="7"/>
  <c r="M33" i="7"/>
  <c r="M25" i="7"/>
  <c r="M26" i="7" s="1"/>
  <c r="E24" i="7"/>
  <c r="D24" i="7"/>
  <c r="C24" i="7"/>
  <c r="H14" i="7"/>
  <c r="I14" i="7"/>
  <c r="E16" i="7"/>
  <c r="D16" i="7"/>
  <c r="M20" i="7"/>
  <c r="M18" i="7"/>
  <c r="M19" i="7" s="1"/>
  <c r="M17" i="7"/>
  <c r="M9" i="7"/>
  <c r="M10" i="7" s="1"/>
  <c r="M11" i="7" s="1"/>
  <c r="M12" i="7" s="1"/>
  <c r="M8" i="7"/>
  <c r="G14" i="7"/>
  <c r="I74" i="1" s="1"/>
  <c r="E5" i="7"/>
  <c r="D5" i="7"/>
  <c r="C16" i="7"/>
  <c r="G5" i="7"/>
  <c r="H28" i="3" l="1"/>
  <c r="I72" i="1"/>
  <c r="I72" i="3"/>
  <c r="H62" i="7"/>
  <c r="G62" i="7"/>
  <c r="I62" i="7"/>
  <c r="D54" i="7"/>
  <c r="E54" i="7"/>
  <c r="M59" i="7"/>
  <c r="C54" i="7"/>
  <c r="E46" i="7"/>
  <c r="E97" i="5" s="1"/>
  <c r="D46" i="7"/>
  <c r="D97" i="5" s="1"/>
  <c r="M51" i="7"/>
  <c r="C46" i="7"/>
  <c r="C5" i="7"/>
  <c r="M44" i="7"/>
  <c r="E14" i="7"/>
  <c r="E93" i="5" s="1"/>
  <c r="M35" i="7"/>
  <c r="M27" i="7"/>
  <c r="D14" i="7"/>
  <c r="D93" i="5" s="1"/>
  <c r="C98" i="5" l="1"/>
  <c r="C97" i="5"/>
  <c r="C92" i="5"/>
  <c r="I90" i="1"/>
  <c r="M36" i="7"/>
  <c r="M28" i="7"/>
  <c r="C14" i="7"/>
  <c r="C93" i="5" l="1"/>
  <c r="D38" i="7"/>
  <c r="D96" i="5" s="1"/>
  <c r="C38" i="7"/>
  <c r="E38" i="7"/>
  <c r="E96" i="5" s="1"/>
  <c r="E30" i="7"/>
  <c r="E95" i="5" s="1"/>
  <c r="D30" i="7"/>
  <c r="D95" i="5" s="1"/>
  <c r="C30" i="7"/>
  <c r="E22" i="7"/>
  <c r="E94" i="5" s="1"/>
  <c r="D22" i="7"/>
  <c r="D94" i="5" s="1"/>
  <c r="C22" i="7"/>
  <c r="C94" i="5" l="1"/>
  <c r="C96" i="5"/>
  <c r="C95" i="5"/>
  <c r="C62" i="7"/>
  <c r="D62" i="7"/>
  <c r="E62" i="7"/>
  <c r="H29" i="1"/>
  <c r="C144" i="1"/>
  <c r="C143" i="1"/>
  <c r="C142" i="1"/>
  <c r="C141" i="1"/>
  <c r="C140" i="1"/>
  <c r="C139" i="1"/>
  <c r="C137" i="1"/>
  <c r="C138" i="1"/>
  <c r="I123" i="1"/>
  <c r="O102" i="5"/>
  <c r="O103" i="5" s="1"/>
  <c r="G104" i="5"/>
  <c r="E102" i="5"/>
  <c r="C102" i="5"/>
  <c r="G101" i="5"/>
  <c r="E85" i="5"/>
  <c r="D80" i="5"/>
  <c r="G80" i="5"/>
  <c r="E78" i="5"/>
  <c r="C78" i="5"/>
  <c r="G75" i="5"/>
  <c r="G41" i="5" s="1"/>
  <c r="C43" i="5"/>
  <c r="C42" i="5"/>
  <c r="D32" i="4" l="1"/>
  <c r="J149" i="1" s="1"/>
  <c r="C10" i="4"/>
  <c r="D105" i="5"/>
  <c r="D104" i="5" s="1"/>
  <c r="D91" i="5"/>
  <c r="D34" i="4" s="1"/>
  <c r="G100" i="5"/>
  <c r="G111" i="5" s="1"/>
  <c r="D101" i="5"/>
  <c r="D100" i="5" s="1"/>
  <c r="D36" i="4" s="1"/>
  <c r="J154" i="1" s="1"/>
  <c r="E101" i="5"/>
  <c r="E100" i="5" s="1"/>
  <c r="E36" i="4" s="1"/>
  <c r="C101" i="5"/>
  <c r="C100" i="5" s="1"/>
  <c r="C36" i="4" s="1"/>
  <c r="I154" i="1" s="1"/>
  <c r="E91" i="5"/>
  <c r="E34" i="4" s="1"/>
  <c r="C85" i="5"/>
  <c r="C7" i="4"/>
  <c r="E7" i="4"/>
  <c r="C104" i="5"/>
  <c r="C41" i="5"/>
  <c r="C91" i="5"/>
  <c r="C34" i="4" s="1"/>
  <c r="E77" i="5"/>
  <c r="E75" i="5" s="1"/>
  <c r="Q102" i="5"/>
  <c r="Q103" i="5" s="1"/>
  <c r="E105" i="5"/>
  <c r="E104" i="5" s="1"/>
  <c r="E38" i="4" s="1"/>
  <c r="E41" i="5"/>
  <c r="C86" i="5"/>
  <c r="E86" i="5"/>
  <c r="C77" i="5"/>
  <c r="C75" i="5" s="1"/>
  <c r="C28" i="4" s="1"/>
  <c r="I147" i="1" s="1"/>
  <c r="D111" i="5" l="1"/>
  <c r="D114" i="5" s="1"/>
  <c r="J171" i="1"/>
  <c r="D38" i="4"/>
  <c r="I171" i="1"/>
  <c r="C38" i="4"/>
  <c r="D42" i="4"/>
  <c r="I137" i="1"/>
  <c r="C26" i="4"/>
  <c r="C30" i="4" s="1"/>
  <c r="E28" i="4"/>
  <c r="E30" i="4" s="1"/>
  <c r="G114" i="5"/>
  <c r="E80" i="5"/>
  <c r="E32" i="4" s="1"/>
  <c r="C80" i="5"/>
  <c r="C32" i="4" s="1"/>
  <c r="I149" i="1" s="1"/>
  <c r="E111" i="5" l="1"/>
  <c r="E114" i="5" s="1"/>
  <c r="C111" i="5"/>
  <c r="C42" i="4"/>
  <c r="E42" i="4"/>
  <c r="I325" i="3"/>
  <c r="J306" i="3"/>
  <c r="I306" i="3"/>
  <c r="J305" i="3"/>
  <c r="J292" i="3"/>
  <c r="I292" i="3"/>
  <c r="J291" i="3"/>
  <c r="J290" i="3"/>
  <c r="J289" i="3"/>
  <c r="J288" i="3"/>
  <c r="H266" i="3"/>
  <c r="H260" i="3"/>
  <c r="H259" i="3"/>
  <c r="H256" i="3"/>
  <c r="H255" i="3"/>
  <c r="J237" i="3"/>
  <c r="I237" i="3"/>
  <c r="H237" i="3"/>
  <c r="H231" i="3"/>
  <c r="H225" i="3"/>
  <c r="H221" i="3"/>
  <c r="H220" i="3"/>
  <c r="J217" i="3"/>
  <c r="I217" i="3"/>
  <c r="H217" i="3"/>
  <c r="J207" i="3"/>
  <c r="I207" i="3"/>
  <c r="J206" i="3"/>
  <c r="I206" i="3"/>
  <c r="H206" i="3"/>
  <c r="J204" i="3"/>
  <c r="I204" i="3"/>
  <c r="H204" i="3"/>
  <c r="I203" i="3"/>
  <c r="J202" i="3"/>
  <c r="I202" i="3"/>
  <c r="H202" i="3"/>
  <c r="J201" i="3"/>
  <c r="I201" i="3"/>
  <c r="J200" i="3"/>
  <c r="I200" i="3"/>
  <c r="H200" i="3"/>
  <c r="J197" i="3"/>
  <c r="I197" i="3"/>
  <c r="J196" i="3"/>
  <c r="I196" i="3"/>
  <c r="H196" i="3"/>
  <c r="J192" i="3"/>
  <c r="I192" i="3"/>
  <c r="J191" i="3"/>
  <c r="I191" i="3"/>
  <c r="H189" i="3"/>
  <c r="J187" i="3"/>
  <c r="H176" i="3"/>
  <c r="J170" i="3"/>
  <c r="I170" i="3"/>
  <c r="J167" i="3"/>
  <c r="I167" i="3"/>
  <c r="J153" i="3"/>
  <c r="I153" i="3"/>
  <c r="J136" i="3"/>
  <c r="I136" i="3"/>
  <c r="J132" i="3"/>
  <c r="I132" i="3"/>
  <c r="J127" i="3"/>
  <c r="J125" i="3" s="1"/>
  <c r="J130" i="3" s="1"/>
  <c r="I127" i="3"/>
  <c r="I125" i="3" s="1"/>
  <c r="I130" i="3" s="1"/>
  <c r="I115" i="3"/>
  <c r="J114" i="3"/>
  <c r="H114" i="3"/>
  <c r="I111" i="3"/>
  <c r="J110" i="3"/>
  <c r="H110" i="3"/>
  <c r="G108" i="3"/>
  <c r="J107" i="3"/>
  <c r="I107" i="3"/>
  <c r="H107" i="3"/>
  <c r="H111" i="3" s="1"/>
  <c r="H115" i="3" s="1"/>
  <c r="G107" i="3"/>
  <c r="J97" i="3"/>
  <c r="J100" i="3" s="1"/>
  <c r="I97" i="3"/>
  <c r="I100" i="3" s="1"/>
  <c r="J82" i="3"/>
  <c r="I82" i="3"/>
  <c r="H61" i="3"/>
  <c r="H53" i="3"/>
  <c r="H29" i="3"/>
  <c r="G111" i="3" l="1"/>
  <c r="G115" i="3" s="1"/>
  <c r="J189" i="3"/>
  <c r="I189" i="3"/>
  <c r="H194" i="3"/>
  <c r="H213" i="3"/>
  <c r="H252" i="3"/>
  <c r="H82" i="3"/>
  <c r="J294" i="3"/>
  <c r="J111" i="3"/>
  <c r="J115" i="3" s="1"/>
  <c r="I305" i="3"/>
  <c r="H229" i="3" l="1"/>
  <c r="J97" i="1"/>
  <c r="I97" i="1"/>
  <c r="J96" i="1"/>
  <c r="J203" i="3" s="1"/>
  <c r="J205" i="3" l="1"/>
  <c r="J194" i="3" s="1"/>
  <c r="I205" i="3"/>
  <c r="I194" i="3" s="1"/>
  <c r="I325" i="1"/>
  <c r="H225" i="1"/>
  <c r="J217" i="1"/>
  <c r="I217" i="1"/>
  <c r="J127" i="1"/>
  <c r="J125" i="1" s="1"/>
  <c r="J130" i="1" s="1"/>
  <c r="I127" i="1"/>
  <c r="I125" i="1" s="1"/>
  <c r="I130" i="1" s="1"/>
  <c r="J114" i="1"/>
  <c r="G107" i="1"/>
  <c r="G111" i="1" s="1"/>
  <c r="I255" i="3" s="1"/>
  <c r="H189" i="1"/>
  <c r="J82" i="1"/>
  <c r="J300" i="3" s="1"/>
  <c r="J302" i="3" s="1"/>
  <c r="J317" i="3" s="1"/>
  <c r="I82" i="1"/>
  <c r="I300" i="3" s="1"/>
  <c r="I302" i="3" s="1"/>
  <c r="I317" i="3" s="1"/>
  <c r="J100" i="1"/>
  <c r="I100" i="1"/>
  <c r="J207" i="1"/>
  <c r="I207" i="1"/>
  <c r="J206" i="1"/>
  <c r="I206" i="1"/>
  <c r="H206" i="1"/>
  <c r="J205" i="1"/>
  <c r="I205" i="1"/>
  <c r="J204" i="1"/>
  <c r="I204" i="1"/>
  <c r="H204" i="1"/>
  <c r="J203" i="1"/>
  <c r="I203" i="1"/>
  <c r="J202" i="1"/>
  <c r="I202" i="1"/>
  <c r="H202" i="1"/>
  <c r="J201" i="1"/>
  <c r="I201" i="1"/>
  <c r="J200" i="1"/>
  <c r="I200" i="1"/>
  <c r="H200" i="1"/>
  <c r="H80" i="1"/>
  <c r="H79" i="1"/>
  <c r="H78" i="1"/>
  <c r="I285" i="3" l="1"/>
  <c r="I151" i="3"/>
  <c r="I157" i="3" s="1"/>
  <c r="J285" i="3"/>
  <c r="J151" i="3"/>
  <c r="J157" i="3" s="1"/>
  <c r="J136" i="1"/>
  <c r="I136" i="1"/>
  <c r="J237" i="1"/>
  <c r="I237" i="1"/>
  <c r="J132" i="1"/>
  <c r="I132" i="1"/>
  <c r="J292" i="1"/>
  <c r="I292" i="1"/>
  <c r="J291" i="1"/>
  <c r="J290" i="1"/>
  <c r="J288" i="1"/>
  <c r="I159" i="3" l="1"/>
  <c r="I161" i="3" s="1"/>
  <c r="I174" i="3"/>
  <c r="I181" i="3" s="1"/>
  <c r="J159" i="3"/>
  <c r="J161" i="3" s="1"/>
  <c r="J174" i="3"/>
  <c r="J181" i="3" s="1"/>
  <c r="J14" i="3" s="1"/>
  <c r="J167" i="1"/>
  <c r="I167" i="1"/>
  <c r="J170" i="1"/>
  <c r="I170" i="1"/>
  <c r="J306" i="1"/>
  <c r="I306" i="1"/>
  <c r="J305" i="1"/>
  <c r="I305" i="1"/>
  <c r="H114" i="1"/>
  <c r="J110" i="1"/>
  <c r="H110" i="1"/>
  <c r="J107" i="1"/>
  <c r="I107" i="1"/>
  <c r="I111" i="1" s="1"/>
  <c r="H107" i="1"/>
  <c r="G115" i="1"/>
  <c r="H260" i="1"/>
  <c r="H259" i="1"/>
  <c r="H256" i="1"/>
  <c r="H255" i="1"/>
  <c r="H61" i="1"/>
  <c r="J197" i="1"/>
  <c r="I197" i="1"/>
  <c r="J196" i="1"/>
  <c r="I196" i="1"/>
  <c r="H196" i="1"/>
  <c r="H194" i="1" s="1"/>
  <c r="J192" i="1"/>
  <c r="I192" i="1"/>
  <c r="J191" i="1"/>
  <c r="I191" i="1"/>
  <c r="H74" i="1"/>
  <c r="H82" i="1" s="1"/>
  <c r="H266" i="1"/>
  <c r="I291" i="3" s="1"/>
  <c r="H237" i="1"/>
  <c r="H221" i="1"/>
  <c r="H220" i="1"/>
  <c r="I289" i="3" s="1"/>
  <c r="H217" i="1"/>
  <c r="I288" i="3" s="1"/>
  <c r="H53" i="1"/>
  <c r="I309" i="1" l="1"/>
  <c r="I309" i="3"/>
  <c r="I290" i="1"/>
  <c r="I290" i="3"/>
  <c r="I294" i="3" s="1"/>
  <c r="J309" i="1"/>
  <c r="J309" i="3"/>
  <c r="I238" i="3"/>
  <c r="H238" i="3"/>
  <c r="H234" i="3" s="1"/>
  <c r="H276" i="3" s="1"/>
  <c r="J238" i="3"/>
  <c r="I308" i="1"/>
  <c r="I308" i="3"/>
  <c r="I311" i="3" s="1"/>
  <c r="I318" i="3" s="1"/>
  <c r="J255" i="1"/>
  <c r="J255" i="3"/>
  <c r="J308" i="1"/>
  <c r="J308" i="3"/>
  <c r="I14" i="3"/>
  <c r="I246" i="3"/>
  <c r="I115" i="1"/>
  <c r="I256" i="3"/>
  <c r="I291" i="1"/>
  <c r="H252" i="1"/>
  <c r="J194" i="1"/>
  <c r="I189" i="1"/>
  <c r="J189" i="1"/>
  <c r="I288" i="1"/>
  <c r="H213" i="1"/>
  <c r="H229" i="1" s="1"/>
  <c r="I194" i="1"/>
  <c r="H238" i="1"/>
  <c r="H234" i="1" s="1"/>
  <c r="J238" i="1"/>
  <c r="I238" i="1"/>
  <c r="J111" i="1"/>
  <c r="I256" i="1"/>
  <c r="I255" i="1"/>
  <c r="H111" i="1"/>
  <c r="J311" i="3" l="1"/>
  <c r="J318" i="3" s="1"/>
  <c r="I234" i="3"/>
  <c r="I259" i="1"/>
  <c r="I259" i="3"/>
  <c r="I252" i="3" s="1"/>
  <c r="H11" i="3"/>
  <c r="J256" i="1"/>
  <c r="J256" i="3"/>
  <c r="J246" i="3"/>
  <c r="J234" i="3" s="1"/>
  <c r="I15" i="3"/>
  <c r="I260" i="1"/>
  <c r="I260" i="3"/>
  <c r="I252" i="1"/>
  <c r="H276" i="1"/>
  <c r="H12" i="3" s="1"/>
  <c r="J115" i="1"/>
  <c r="H115" i="1"/>
  <c r="I276" i="3" l="1"/>
  <c r="J260" i="1"/>
  <c r="J260" i="3"/>
  <c r="H13" i="3"/>
  <c r="J259" i="1"/>
  <c r="J252" i="1" s="1"/>
  <c r="J259" i="3"/>
  <c r="J252" i="3" s="1"/>
  <c r="J276" i="3" s="1"/>
  <c r="J15" i="3"/>
  <c r="H231" i="1"/>
  <c r="J187" i="1"/>
  <c r="H176" i="1"/>
  <c r="I289" i="1" l="1"/>
  <c r="J289" i="1" l="1"/>
  <c r="J151" i="1"/>
  <c r="J311" i="1"/>
  <c r="J318" i="1" s="1"/>
  <c r="I311" i="1"/>
  <c r="I318" i="1" s="1"/>
  <c r="J153" i="1"/>
  <c r="I153" i="1"/>
  <c r="I285" i="1"/>
  <c r="J300" i="1"/>
  <c r="I300" i="1" l="1"/>
  <c r="I302" i="1" s="1"/>
  <c r="I317" i="1" s="1"/>
  <c r="I151" i="1"/>
  <c r="J285" i="1"/>
  <c r="J302" i="1"/>
  <c r="J317" i="1" s="1"/>
  <c r="I157" i="1" l="1"/>
  <c r="I284" i="3" s="1"/>
  <c r="I287" i="3" s="1"/>
  <c r="J157" i="1"/>
  <c r="J284" i="3" s="1"/>
  <c r="J287" i="3" s="1"/>
  <c r="J174" i="1" l="1"/>
  <c r="J179" i="1" s="1"/>
  <c r="J296" i="3" s="1"/>
  <c r="J298" i="3" s="1"/>
  <c r="J316" i="3" s="1"/>
  <c r="J320" i="3" s="1"/>
  <c r="J284" i="1"/>
  <c r="I174" i="1"/>
  <c r="I284" i="1"/>
  <c r="I179" i="1" l="1"/>
  <c r="I296" i="3" s="1"/>
  <c r="I298" i="3" s="1"/>
  <c r="I316" i="3" s="1"/>
  <c r="I320" i="3" s="1"/>
  <c r="J287" i="1"/>
  <c r="J296" i="1"/>
  <c r="J159" i="1"/>
  <c r="J161" i="1" s="1"/>
  <c r="J294" i="1"/>
  <c r="I294" i="1"/>
  <c r="I287" i="1"/>
  <c r="I159" i="1"/>
  <c r="I161" i="1" s="1"/>
  <c r="I296" i="1" l="1"/>
  <c r="J298" i="1"/>
  <c r="J316" i="1" s="1"/>
  <c r="J320" i="1" s="1"/>
  <c r="J181" i="1" l="1"/>
  <c r="J14" i="1" s="1"/>
  <c r="I181" i="1"/>
  <c r="H12" i="1"/>
  <c r="I298" i="1"/>
  <c r="I316" i="1" s="1"/>
  <c r="I320" i="1" s="1"/>
  <c r="I16" i="3" l="1"/>
  <c r="I326" i="3"/>
  <c r="I225" i="3"/>
  <c r="I213" i="3" s="1"/>
  <c r="I229" i="3" s="1"/>
  <c r="I326" i="1"/>
  <c r="I16" i="1"/>
  <c r="I246" i="1"/>
  <c r="I14" i="1"/>
  <c r="I225" i="1"/>
  <c r="I17" i="1" l="1"/>
  <c r="I17" i="3"/>
  <c r="J225" i="3"/>
  <c r="J213" i="3" s="1"/>
  <c r="J229" i="3" s="1"/>
  <c r="J325" i="3"/>
  <c r="J326" i="3" s="1"/>
  <c r="J328" i="3" s="1"/>
  <c r="J16" i="3" s="1"/>
  <c r="I328" i="3"/>
  <c r="I15" i="1"/>
  <c r="I234" i="1"/>
  <c r="I276" i="1" s="1"/>
  <c r="J246" i="1"/>
  <c r="J225" i="1"/>
  <c r="J17" i="3" s="1"/>
  <c r="I213" i="1"/>
  <c r="I229" i="1" s="1"/>
  <c r="I12" i="1" l="1"/>
  <c r="I12" i="3"/>
  <c r="I11" i="3"/>
  <c r="I13" i="3"/>
  <c r="J15" i="1"/>
  <c r="J234" i="1"/>
  <c r="J276" i="1" s="1"/>
  <c r="J213" i="1"/>
  <c r="J229" i="1" s="1"/>
  <c r="J17" i="1"/>
  <c r="J325" i="1"/>
  <c r="J12" i="1" l="1"/>
  <c r="J12" i="3"/>
  <c r="J11" i="3"/>
  <c r="J13" i="3"/>
  <c r="J326" i="1"/>
  <c r="I328" i="1"/>
  <c r="I13" i="1"/>
  <c r="I11" i="1"/>
  <c r="J13" i="1"/>
  <c r="J11" i="1"/>
  <c r="H13" i="1"/>
  <c r="H11" i="1"/>
  <c r="J328" i="1" l="1"/>
  <c r="J16" i="1" s="1"/>
  <c r="C35" i="5"/>
  <c r="C114" i="5" s="1"/>
</calcChain>
</file>

<file path=xl/sharedStrings.xml><?xml version="1.0" encoding="utf-8"?>
<sst xmlns="http://schemas.openxmlformats.org/spreadsheetml/2006/main" count="968" uniqueCount="410">
  <si>
    <t>OVERZICHTS- EN CONTROLETABEL</t>
  </si>
  <si>
    <t>aanvangs-</t>
  </si>
  <si>
    <t>na 12</t>
  </si>
  <si>
    <t>na 24</t>
  </si>
  <si>
    <t>situatie</t>
  </si>
  <si>
    <t>maanden</t>
  </si>
  <si>
    <t xml:space="preserve">Totaal actief  </t>
  </si>
  <si>
    <t xml:space="preserve">Totaal passief  </t>
  </si>
  <si>
    <t xml:space="preserve">Winst/verlies RR  </t>
  </si>
  <si>
    <t xml:space="preserve">Overgedragen winst/verlies Passief (mutatie)  </t>
  </si>
  <si>
    <t xml:space="preserve">Cashflow  </t>
  </si>
  <si>
    <t xml:space="preserve">Mutatie liquide middelen Actief  </t>
  </si>
  <si>
    <t>FINANCIEEL PLAN</t>
  </si>
  <si>
    <t>I.</t>
  </si>
  <si>
    <t>Aanvangsvermogen</t>
  </si>
  <si>
    <t>Inbrengen in geld</t>
  </si>
  <si>
    <t>Totaal van de inbrengen in geld:</t>
  </si>
  <si>
    <t>Beschikbaar (EUR):</t>
  </si>
  <si>
    <t>Inbrengen in natura</t>
  </si>
  <si>
    <t>Inbreng van vaste activa:</t>
  </si>
  <si>
    <t>- Immateriële vaste activa</t>
  </si>
  <si>
    <t>- Materiële vaste activa</t>
  </si>
  <si>
    <t>- Terreinen en gebouwen</t>
  </si>
  <si>
    <t>- Installaties, machines en uitrusting</t>
  </si>
  <si>
    <t>- Meubilair en rollend materieel</t>
  </si>
  <si>
    <t>- Leasing en soortgelijke rechten</t>
  </si>
  <si>
    <t>Inbreng van vlottende activa:</t>
  </si>
  <si>
    <t>- Voorraden en bestellingen in uitvoering</t>
  </si>
  <si>
    <t>- Vorderingen op ten hoogste één jaar</t>
  </si>
  <si>
    <t>- Handelsdebiteuren</t>
  </si>
  <si>
    <t>- Overige vorderingen</t>
  </si>
  <si>
    <t>Inbreng van passiva</t>
  </si>
  <si>
    <t>- Gewone lening &gt; 1 jaar</t>
  </si>
  <si>
    <r>
      <t xml:space="preserve">- Gewone lening </t>
    </r>
    <r>
      <rPr>
        <sz val="11"/>
        <color theme="1"/>
        <rFont val="Calibri"/>
        <family val="2"/>
      </rPr>
      <t>&gt;</t>
    </r>
    <r>
      <rPr>
        <sz val="11"/>
        <color theme="1"/>
        <rFont val="Calibri"/>
        <family val="2"/>
        <scheme val="minor"/>
      </rPr>
      <t xml:space="preserve"> 1 jaar (die binnen het jaar vervallen)</t>
    </r>
  </si>
  <si>
    <t>- Handelsschulden</t>
  </si>
  <si>
    <t>Totaal van de netto-inbreng:</t>
  </si>
  <si>
    <t>Andere financieringsbronnen (aanwezig in liquiditeiten bij aanvang)</t>
  </si>
  <si>
    <t>Overige schulden &gt; 1 jaar</t>
  </si>
  <si>
    <t>Overige schulden &gt; 1 jaar (die binnen het jaar vervallen)</t>
  </si>
  <si>
    <t>Totaal van de andere financieringsbonnen:</t>
  </si>
  <si>
    <t>II.</t>
  </si>
  <si>
    <t>Geplande investeringen / inbrengen vaste activa:</t>
  </si>
  <si>
    <t>Voor de eerste 24 maanden worden volgende inbrengen en investeringen voorzien:</t>
  </si>
  <si>
    <t>inbrengen</t>
  </si>
  <si>
    <t>investeringen</t>
  </si>
  <si>
    <t>bij</t>
  </si>
  <si>
    <t>1 - 12</t>
  </si>
  <si>
    <t>13 - 24</t>
  </si>
  <si>
    <t>aanvang</t>
  </si>
  <si>
    <t>Oprichtingskosten</t>
  </si>
  <si>
    <t>Immateriële Vaste Activa</t>
  </si>
  <si>
    <t>Materiële Vaste Activa</t>
  </si>
  <si>
    <t>Totaal van de inbrengen / investeringen</t>
  </si>
  <si>
    <t>III.</t>
  </si>
  <si>
    <t>Afschrijvingen / waardeverminderingen:</t>
  </si>
  <si>
    <t>Totaal afschrijvingen / waardeverminderingen:</t>
  </si>
  <si>
    <t>IV.</t>
  </si>
  <si>
    <t>Evolutie van de externe financiële middelen:</t>
  </si>
  <si>
    <t>gewone lening &gt; 1 jaar</t>
  </si>
  <si>
    <t>overige schulden &gt; 1 jaar</t>
  </si>
  <si>
    <t>&gt; 1 jaar</t>
  </si>
  <si>
    <r>
      <rPr>
        <b/>
        <sz val="11"/>
        <color theme="1"/>
        <rFont val="Calibri"/>
        <family val="2"/>
      </rPr>
      <t>≤</t>
    </r>
    <r>
      <rPr>
        <b/>
        <sz val="11"/>
        <color theme="1"/>
        <rFont val="Calibri"/>
        <family val="2"/>
        <scheme val="minor"/>
      </rPr>
      <t xml:space="preserve"> 1 jaar</t>
    </r>
  </si>
  <si>
    <t>Aanvangsbalans:</t>
  </si>
  <si>
    <t>- Nieuwe leningen eerste 12 maanden:</t>
  </si>
  <si>
    <t>- Terugbetalingen eerste 12 maanden:</t>
  </si>
  <si>
    <t>- Overboeking naar korte termijn:</t>
  </si>
  <si>
    <t>Balans na 12 maanden:</t>
  </si>
  <si>
    <t>- Nieuwe leningen volgende 12 maanden:</t>
  </si>
  <si>
    <t>- terugbetalingen volgende 12 maanden:</t>
  </si>
  <si>
    <t>Balans na 24 maanden:</t>
  </si>
  <si>
    <t>V.</t>
  </si>
  <si>
    <t>Resultatenrekening:</t>
  </si>
  <si>
    <t>I. Bedrijfsopbrengsten en kosten</t>
  </si>
  <si>
    <t>1-12</t>
  </si>
  <si>
    <t>13-24</t>
  </si>
  <si>
    <t>A.</t>
  </si>
  <si>
    <t>Omzet</t>
  </si>
  <si>
    <t>B.</t>
  </si>
  <si>
    <t>Verkochte aankopen:</t>
  </si>
  <si>
    <t>- Aankopen:</t>
  </si>
  <si>
    <t>- Beginvoorraad:</t>
  </si>
  <si>
    <t>- Eindvoorraad:</t>
  </si>
  <si>
    <t>Bruto marge op omzet:</t>
  </si>
  <si>
    <t>C.</t>
  </si>
  <si>
    <t>Andere bedrijfsopbrengsten</t>
  </si>
  <si>
    <t>- recurrente andere bedrijfsopbrengsten</t>
  </si>
  <si>
    <t>- niet recurrente andere bedrijfsopbrengsten</t>
  </si>
  <si>
    <t>D.</t>
  </si>
  <si>
    <t>Diensten en diverse goederen</t>
  </si>
  <si>
    <t>- … diversen 1</t>
  </si>
  <si>
    <t>- … diversen 2</t>
  </si>
  <si>
    <t>- … diversen 3</t>
  </si>
  <si>
    <t>- … diversen 4</t>
  </si>
  <si>
    <t>- … diversen 5</t>
  </si>
  <si>
    <t>- … diversen 6</t>
  </si>
  <si>
    <t>- … diversen 7</t>
  </si>
  <si>
    <t>- … diversen 8</t>
  </si>
  <si>
    <t>- … diversen 9</t>
  </si>
  <si>
    <t>- … diversen 10</t>
  </si>
  <si>
    <t>- bestuurder(s):</t>
  </si>
  <si>
    <t>E.</t>
  </si>
  <si>
    <t>Personeelskosten</t>
  </si>
  <si>
    <t>F.</t>
  </si>
  <si>
    <t>Afschrijvingen</t>
  </si>
  <si>
    <t>G.</t>
  </si>
  <si>
    <t>Andere bedrijfskosten</t>
  </si>
  <si>
    <t>- Recurrente andere bedrijfskosten</t>
  </si>
  <si>
    <t>- Niet-recurrente andere bedrijfskosten</t>
  </si>
  <si>
    <t>Bedrijfsresultaat</t>
  </si>
  <si>
    <t>Bedrijfskasstroom (EBITDA)</t>
  </si>
  <si>
    <t>EBITDA / Omzet</t>
  </si>
  <si>
    <t>II. Financiële opbrengsten en kosten</t>
  </si>
  <si>
    <t>Financiële opbrengsten</t>
  </si>
  <si>
    <t>- recurrente financiële opbrengsten</t>
  </si>
  <si>
    <t>- niet recurrente financiële opbrengsten</t>
  </si>
  <si>
    <t>Financiële kosten</t>
  </si>
  <si>
    <t>- recurrente financiële kosten</t>
  </si>
  <si>
    <t>- niet recurrente financiële kosten</t>
  </si>
  <si>
    <t>Resultaat vóór belastingen</t>
  </si>
  <si>
    <t>III. Belastingen op het resultaat</t>
  </si>
  <si>
    <t>Vennootschapsbelasting</t>
  </si>
  <si>
    <t>Resultaat na belastingen</t>
  </si>
  <si>
    <t>VI.</t>
  </si>
  <si>
    <t>Balans:</t>
  </si>
  <si>
    <t>ACTIVA</t>
  </si>
  <si>
    <t>OPRICHTINGSKOSTEN</t>
  </si>
  <si>
    <t>- Oprichtingkosten</t>
  </si>
  <si>
    <t>- Afschrijving oprichtingskosten</t>
  </si>
  <si>
    <t>VASTE ACTIVA</t>
  </si>
  <si>
    <t>21/28</t>
  </si>
  <si>
    <t>- Immateriële vaste activa (aw)</t>
  </si>
  <si>
    <t>- Immateriële vaste activa (afschr.)</t>
  </si>
  <si>
    <t>- Terreinen en gebouwen (aw)</t>
  </si>
  <si>
    <t>- Terreinen en gebouwen (afschr.)</t>
  </si>
  <si>
    <t>- Installaties, machines en uitrusting (aw)</t>
  </si>
  <si>
    <t>- Installaties, machines en uitrusting (afschr.)</t>
  </si>
  <si>
    <t>- Meubilair en rollend materieel (aw)</t>
  </si>
  <si>
    <t>- Meubilair en rollend materieel (afschr.)</t>
  </si>
  <si>
    <t>- Leasing en soortgelijke rechten (aw)</t>
  </si>
  <si>
    <t>- Leasing en soortgelijke rechten (afschr.)</t>
  </si>
  <si>
    <t>- Overige materiële vaste activa - pm</t>
  </si>
  <si>
    <t>- Activa in aanbouw en vooruitbetalingen - pm</t>
  </si>
  <si>
    <t>- Financiële vaste activa (pm)</t>
  </si>
  <si>
    <t>VLOTTENDE ACTIVA</t>
  </si>
  <si>
    <t>29/58</t>
  </si>
  <si>
    <t>- Vorderingen op meer dan één jaar - pm</t>
  </si>
  <si>
    <t>30/37</t>
  </si>
  <si>
    <t>40/41</t>
  </si>
  <si>
    <t>- Handelsvorderingen</t>
  </si>
  <si>
    <t>- Geldbeleggingen - pm</t>
  </si>
  <si>
    <t>50/53</t>
  </si>
  <si>
    <t>- Liquide middelen</t>
  </si>
  <si>
    <t>54/58</t>
  </si>
  <si>
    <t>- Overlopende rekeningen  - pm</t>
  </si>
  <si>
    <t>490/1</t>
  </si>
  <si>
    <t>Totaal der Activa</t>
  </si>
  <si>
    <t>PASSIVA</t>
  </si>
  <si>
    <t>EIGEN VERMOGEN</t>
  </si>
  <si>
    <t>10/15</t>
  </si>
  <si>
    <t>- Inbreng</t>
  </si>
  <si>
    <t>10</t>
  </si>
  <si>
    <t>- Inbreng in geld</t>
  </si>
  <si>
    <t>- Inbreng in natura</t>
  </si>
  <si>
    <t>- Uitgiftepremies - pm</t>
  </si>
  <si>
    <t>11</t>
  </si>
  <si>
    <t>- Herwaarderingsmeerwaarden - pm</t>
  </si>
  <si>
    <t>12</t>
  </si>
  <si>
    <t>- Reserves - pm</t>
  </si>
  <si>
    <t>13</t>
  </si>
  <si>
    <t>- Overgedragen winst (verlies) (+/-)</t>
  </si>
  <si>
    <t>14</t>
  </si>
  <si>
    <t>- Kapitaalsubsidies - pm</t>
  </si>
  <si>
    <t>15</t>
  </si>
  <si>
    <t>VOORZIENINGEN EN UITGESTELDE BELASTINGEN</t>
  </si>
  <si>
    <t>16</t>
  </si>
  <si>
    <t>SCHULDEN</t>
  </si>
  <si>
    <t>17/49</t>
  </si>
  <si>
    <t>- Schulden op meer dan één jaar</t>
  </si>
  <si>
    <t>17</t>
  </si>
  <si>
    <t>- Gewone lening (&gt; 1 jaar)</t>
  </si>
  <si>
    <t>170/4</t>
  </si>
  <si>
    <t>- Overige schulden (&gt; 1 jaar)</t>
  </si>
  <si>
    <t>178/9</t>
  </si>
  <si>
    <t>- Schulden &gt; 1 jaar die binnen het jaar vervallen</t>
  </si>
  <si>
    <t>42</t>
  </si>
  <si>
    <t>- Schulden op ten hoogste één jaar</t>
  </si>
  <si>
    <t>43/48</t>
  </si>
  <si>
    <t>- Financiële schulden - pm</t>
  </si>
  <si>
    <t>44</t>
  </si>
  <si>
    <t>- Sociale en fiscale schulden</t>
  </si>
  <si>
    <t>45</t>
  </si>
  <si>
    <t>- Ontvangen vooruitbetalingen op bestellingen</t>
  </si>
  <si>
    <t>46</t>
  </si>
  <si>
    <t>- Overige schulden - pm</t>
  </si>
  <si>
    <t>47/48</t>
  </si>
  <si>
    <t>- Overlopende rekeningen - pm</t>
  </si>
  <si>
    <t>492/3</t>
  </si>
  <si>
    <t>Totaal der Passiva</t>
  </si>
  <si>
    <t>VII.</t>
  </si>
  <si>
    <t>Cashflow:</t>
  </si>
  <si>
    <t>Kasstromen in EUR (Bron: + / Aanwending: -)</t>
  </si>
  <si>
    <t>EBIT / Bedrijfswinst van het boekjaar</t>
  </si>
  <si>
    <t>Afschrijvingen oprichtingskosten, imateriële &amp; materiële vaste activa</t>
  </si>
  <si>
    <t>Waardeverminderingen - pm</t>
  </si>
  <si>
    <t>Operationele kasstroom</t>
  </si>
  <si>
    <t>Voorraden</t>
  </si>
  <si>
    <t>Handelsvorderingen op ten hoogste één jaar</t>
  </si>
  <si>
    <t>Overige vorderingen op ten hoogste één jaar</t>
  </si>
  <si>
    <t>Handelsschulden op te hoogste één jaar</t>
  </si>
  <si>
    <t>Schulden m.b.t. belastingen, bezoldigingen en sociale lasten</t>
  </si>
  <si>
    <t>Variatie behoefte bedrijfskapitaal</t>
  </si>
  <si>
    <t>Betaalde inkomstenbelastingen</t>
  </si>
  <si>
    <t>Kasstroom uit bedrijfsoperaties</t>
  </si>
  <si>
    <t>(Des)investeringen vaste activa</t>
  </si>
  <si>
    <t>Kasstroom uit investeringsactiviteiten</t>
  </si>
  <si>
    <t>Evolutie van de leningen</t>
  </si>
  <si>
    <t>- Nieuwe leningen</t>
  </si>
  <si>
    <t>- Terugbetaling van leningen</t>
  </si>
  <si>
    <t>Financiële kosten en opbrengsten</t>
  </si>
  <si>
    <t>- Financiële kosten</t>
  </si>
  <si>
    <t>- Financiële opbrengsten</t>
  </si>
  <si>
    <t>Kasstroom uit financieringsactiviteiten</t>
  </si>
  <si>
    <t>Reële Kasstroom</t>
  </si>
  <si>
    <t>Reële kasstroom na belastingen</t>
  </si>
  <si>
    <t>Wijzigingen financiële rekeningen</t>
  </si>
  <si>
    <t>Liquide middelen (begin boekjaar)</t>
  </si>
  <si>
    <t>Liquide middelen (einde boekjaar)</t>
  </si>
  <si>
    <t>balans</t>
  </si>
  <si>
    <t xml:space="preserve"> </t>
  </si>
  <si>
    <t>Raming</t>
  </si>
  <si>
    <t>Aantal maanden</t>
  </si>
  <si>
    <t>Jaar 1</t>
  </si>
  <si>
    <t>12 maanden</t>
  </si>
  <si>
    <t>24 maanden</t>
  </si>
  <si>
    <t>per jaar/maand</t>
  </si>
  <si>
    <t>eerste boekjaar</t>
  </si>
  <si>
    <t>Lengte boekjaar</t>
  </si>
  <si>
    <t>Boekjaar 1</t>
  </si>
  <si>
    <t>einde boekjaar december</t>
  </si>
  <si>
    <t>Diensten &amp; diverse goederen</t>
  </si>
  <si>
    <t>Aankopen handelsgoederen</t>
  </si>
  <si>
    <t>Huur gebouwen</t>
  </si>
  <si>
    <t>huur per maand</t>
  </si>
  <si>
    <t>Huur gronden</t>
  </si>
  <si>
    <t>Leasing materieel</t>
  </si>
  <si>
    <t>Leasing per maand</t>
  </si>
  <si>
    <t>Onderhoud &amp; Herstellingmaterieel</t>
  </si>
  <si>
    <t>per jaar</t>
  </si>
  <si>
    <t xml:space="preserve">Onderhoud &amp; Herstelling gebouwen        </t>
  </si>
  <si>
    <t xml:space="preserve">Onderhoud &amp; Herstelling voertuigen  </t>
  </si>
  <si>
    <t>Elektriciteit, verwarming en water</t>
  </si>
  <si>
    <t xml:space="preserve">Brandstof voertuigen                    </t>
  </si>
  <si>
    <t xml:space="preserve">Onderhoudsproducten                     </t>
  </si>
  <si>
    <t xml:space="preserve">Klein materieel                         </t>
  </si>
  <si>
    <t>Documentatie en lidgelden</t>
  </si>
  <si>
    <t xml:space="preserve">Drukwerken                              </t>
  </si>
  <si>
    <t>Kantoormateriaal</t>
  </si>
  <si>
    <t>Software en website</t>
  </si>
  <si>
    <t xml:space="preserve">Telefoon en internet              </t>
  </si>
  <si>
    <t>Postzegels en verzendingskosten</t>
  </si>
  <si>
    <t>Betaalde honoraria en erelonen</t>
  </si>
  <si>
    <t>Kosten boekhouding</t>
  </si>
  <si>
    <t>Verzekeringen</t>
  </si>
  <si>
    <t>Verzekering burgerlijke aansprakelijkheid</t>
  </si>
  <si>
    <t>Binnenlandse reiskosten</t>
  </si>
  <si>
    <t>Buitenlandse reiskosten</t>
  </si>
  <si>
    <t>Representatiekosten</t>
  </si>
  <si>
    <t>Forfaitaire onkostenvergoeding bestuurder</t>
  </si>
  <si>
    <t>bedrag per maand,per bestuurder; aantal =</t>
  </si>
  <si>
    <t>Restaurantkosten</t>
  </si>
  <si>
    <t>Deelname aan cursussen studiedagen</t>
  </si>
  <si>
    <t>Advertenties en promotie</t>
  </si>
  <si>
    <t>Onthaalkosten</t>
  </si>
  <si>
    <t>Deelname aan beurzen</t>
  </si>
  <si>
    <t>Wettelijke publicatiekosten</t>
  </si>
  <si>
    <t>Bijdragen beroepsverenigingen</t>
  </si>
  <si>
    <t>Bezoldiging bestuurders</t>
  </si>
  <si>
    <t>Sociale bijdragen bestuurders</t>
  </si>
  <si>
    <t>blanco laten</t>
  </si>
  <si>
    <t>Sociale bijdragen van 21% wordt ofwel door de vennootschop ofwel privé betaald</t>
  </si>
  <si>
    <t>Individuele pensioentoezegging (IPT)</t>
  </si>
  <si>
    <t>IPT van 5% op brutoloon.  Kan door de vennootschap betaald worden, hoeft uiteraard niet.</t>
  </si>
  <si>
    <t>Brutolonen bedienden</t>
  </si>
  <si>
    <t>Bedrag per maand voor 1 voltijds personeelslid (hoeft uiteraard niet)</t>
  </si>
  <si>
    <t>Voordelen alle aard bedienden</t>
  </si>
  <si>
    <t>berekend op brutowedde</t>
  </si>
  <si>
    <t>Eindejaarspremie bedienden</t>
  </si>
  <si>
    <t>Werkgeversbijdrage bedienden</t>
  </si>
  <si>
    <t>Verzekering arbeidsongevallen</t>
  </si>
  <si>
    <t>Medische dienst</t>
  </si>
  <si>
    <t>Maaltijdcheques</t>
  </si>
  <si>
    <t>Voorziening vakantiegeld</t>
  </si>
  <si>
    <t>berekend volgens wettelijke basis</t>
  </si>
  <si>
    <t>Afsch oprichtngskosten</t>
  </si>
  <si>
    <t>Zie invulling tabblad investeringen</t>
  </si>
  <si>
    <t>Afsch inrichting</t>
  </si>
  <si>
    <t>Afsch informatica</t>
  </si>
  <si>
    <t>Afsch machines en uitrusting</t>
  </si>
  <si>
    <t>Afsch meubilair</t>
  </si>
  <si>
    <t>Afschrijving rollend materieel</t>
  </si>
  <si>
    <t>Belastingen &amp; taksen</t>
  </si>
  <si>
    <t>Gemeente- en provinciebelastingen</t>
  </si>
  <si>
    <t>200 gemeentebelasting, 90 provinciebelasting</t>
  </si>
  <si>
    <t>Sociale bijdrage vennootschappen</t>
  </si>
  <si>
    <t>vast tarief</t>
  </si>
  <si>
    <t>Betaalde intresten</t>
  </si>
  <si>
    <t xml:space="preserve">Bankkosten                              </t>
  </si>
  <si>
    <t>Uitzonderlijke kosten</t>
  </si>
  <si>
    <t>TOTAAL UITGAVEN</t>
  </si>
  <si>
    <t>Inkomsten</t>
  </si>
  <si>
    <t>Winst uit Verkopen</t>
  </si>
  <si>
    <t>Voordelen alle aard</t>
  </si>
  <si>
    <t>Bedrag per jaar per auto</t>
  </si>
  <si>
    <t>TOTAAL INKOMSTEN</t>
  </si>
  <si>
    <t>RESULTAAT</t>
  </si>
  <si>
    <t>Boekjaar 2</t>
  </si>
  <si>
    <t>Type Aandeel</t>
  </si>
  <si>
    <t>Aantal</t>
  </si>
  <si>
    <t>Bedrag</t>
  </si>
  <si>
    <t>Jaar 2</t>
  </si>
  <si>
    <t>Jaar 3</t>
  </si>
  <si>
    <t>Aandeel type 1</t>
  </si>
  <si>
    <t>Aandeel type 2</t>
  </si>
  <si>
    <t>Aandeel type 3</t>
  </si>
  <si>
    <t>Aandeel type 4</t>
  </si>
  <si>
    <t>TOTAAL INBRENG:</t>
  </si>
  <si>
    <t>Notariskosten</t>
  </si>
  <si>
    <t>Bedrag investering</t>
  </si>
  <si>
    <t>afschrijving loopt over</t>
  </si>
  <si>
    <t>jaar</t>
  </si>
  <si>
    <t>Opmaak financieel plan</t>
  </si>
  <si>
    <t>Opmaak statuten</t>
  </si>
  <si>
    <t>Verslag revisor</t>
  </si>
  <si>
    <t>Afschrijving Immateriële vaste activa</t>
  </si>
  <si>
    <t>Immaterieel vast actief 1</t>
  </si>
  <si>
    <t>Immaterieel vast actief 2</t>
  </si>
  <si>
    <t>Afschrijving inrichting</t>
  </si>
  <si>
    <t>Afschrijving Informatica</t>
  </si>
  <si>
    <t>Informatica 1</t>
  </si>
  <si>
    <t>Informatica 2</t>
  </si>
  <si>
    <t>Informatica 3</t>
  </si>
  <si>
    <t>Afschrijving machines en uitrusting</t>
  </si>
  <si>
    <t>Machine 2</t>
  </si>
  <si>
    <t>Machine 3</t>
  </si>
  <si>
    <t>Afschrijving meubilair</t>
  </si>
  <si>
    <t>Meubilair 1</t>
  </si>
  <si>
    <t>Meubilair 2</t>
  </si>
  <si>
    <t>Meubilair 3</t>
  </si>
  <si>
    <t>Wagen 1</t>
  </si>
  <si>
    <t>Wagen 2</t>
  </si>
  <si>
    <t>TOTAAL AFSCHRIJVINGEN</t>
  </si>
  <si>
    <t>Diverse uitgaven klasse 610</t>
  </si>
  <si>
    <t>Diverse uitgaven klasse 611</t>
  </si>
  <si>
    <t>Diverse uitgaven klasse 612</t>
  </si>
  <si>
    <t>Diverse uitgaven klasse 613</t>
  </si>
  <si>
    <t>Diverse uitgaven klasse 614</t>
  </si>
  <si>
    <t>Diverse uitgaven klasse 615</t>
  </si>
  <si>
    <t>Diverse uitgaven klasse 616</t>
  </si>
  <si>
    <t>Diverse uitgaven klasse 617</t>
  </si>
  <si>
    <t>SUBTOTAAL</t>
  </si>
  <si>
    <t>Diverse uitgaven klasse 618</t>
  </si>
  <si>
    <t>TOTAAL KLASSE 61</t>
  </si>
  <si>
    <t>Totaal loonkosten</t>
  </si>
  <si>
    <t>DISCLAIMER</t>
  </si>
  <si>
    <t>Coopfabrik neemt de gebruikelijke zorgvuldigheid in acht om ervoor te zorgen dat de rekentools betrouwbaar zijn. Vergissingen of weglatingen zijn evenwel nooit uit te sluiten. Bovendien evolueren de rechtspraak en wetgeving voortdurend.  Gelieve de resultaten dan ook naderhand grondig te controleren. Opmerkingen en tips tot verbetering zijn steeds welkom op info@coopfabrik.be</t>
  </si>
  <si>
    <t>Afsch immatriële vaste activa</t>
  </si>
  <si>
    <t>Immaterieel vast actief 3</t>
  </si>
  <si>
    <t>Immaterieel vast actief 4</t>
  </si>
  <si>
    <t>Immaterieel vast actief 5</t>
  </si>
  <si>
    <t>Inrichting 3</t>
  </si>
  <si>
    <t>Inrichting 4</t>
  </si>
  <si>
    <t>Inrichting 5</t>
  </si>
  <si>
    <t>Informatica 4</t>
  </si>
  <si>
    <t>Informatica 5</t>
  </si>
  <si>
    <t>Machine 1</t>
  </si>
  <si>
    <t>Machine 4</t>
  </si>
  <si>
    <t>Machine 5</t>
  </si>
  <si>
    <t>Meubilair 4</t>
  </si>
  <si>
    <t>Meubilair 5</t>
  </si>
  <si>
    <t>Wagen 3</t>
  </si>
  <si>
    <t>Wagen 4</t>
  </si>
  <si>
    <t>Wagen 5</t>
  </si>
  <si>
    <t>Boekjaar 3</t>
  </si>
  <si>
    <t>Raming per jaar</t>
  </si>
  <si>
    <t>raming per jaar</t>
  </si>
  <si>
    <t>Aankopen</t>
  </si>
  <si>
    <t>Totaal Afschrijvingen</t>
  </si>
  <si>
    <t>ALGEMEEN TOTAAL</t>
  </si>
  <si>
    <t>Kosten sociaal secretariaat</t>
  </si>
  <si>
    <t>Diverse bedrijfskosten</t>
  </si>
  <si>
    <t>Ontspanningsspelen</t>
  </si>
  <si>
    <t>Verkopen goederen</t>
  </si>
  <si>
    <t>Verkopen voeding</t>
  </si>
  <si>
    <t>Reclameinkomsten</t>
  </si>
  <si>
    <t>Verkopen</t>
  </si>
  <si>
    <t>Marge</t>
  </si>
  <si>
    <t>Brutowinst</t>
  </si>
  <si>
    <t>Uitgaven</t>
  </si>
  <si>
    <t>Aankope, bier in vaten</t>
  </si>
  <si>
    <t>Aankopen koude dranken</t>
  </si>
  <si>
    <t>Aankopen warme dranken</t>
  </si>
  <si>
    <t>Aankopen wijn &amp; likeuren</t>
  </si>
  <si>
    <t>Aankopen etenswaren</t>
  </si>
  <si>
    <t>Overname handelsfonds</t>
  </si>
  <si>
    <t>IN TE VULLEN DOOR MARC</t>
  </si>
  <si>
    <t>Inkomtickets</t>
  </si>
  <si>
    <t xml:space="preserve"> gages artiesten</t>
  </si>
  <si>
    <t xml:space="preserve">Subsidies </t>
  </si>
  <si>
    <t>we voor zien een deeltijdse flexijobber. (2/5de)  Dit is het bedrag indien hij voltijds zou zijn.</t>
  </si>
  <si>
    <t>de lening is renteloos zie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</si>
</sst>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0;\(#,##0.00\)"/>
    <numFmt numFmtId="166" formatCode="0_ ;\-0\ "/>
    <numFmt numFmtId="167" formatCode="#,##0_ ;\-#,##0\ "/>
  </numFmts>
  <fonts count="2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1"/>
      <color theme="1"/>
      <name val="Calibri"/>
      <family val="2"/>
      <scheme val="minor"/>
    </font>
    <font>
      <sz val="11"/>
      <color theme="0"/>
      <name val="Calibri"/>
      <family val="2"/>
      <scheme val="minor"/>
    </font>
    <font>
      <sz val="11"/>
      <color rgb="FFFF0000"/>
      <name val="Calibri"/>
      <family val="2"/>
      <scheme val="minor"/>
    </font>
    <font>
      <b/>
      <sz val="11"/>
      <color rgb="FFFF0000"/>
      <name val="Calibri"/>
      <family val="2"/>
      <scheme val="minor"/>
    </font>
    <font>
      <b/>
      <i/>
      <sz val="11"/>
      <color theme="1"/>
      <name val="Calibri"/>
      <family val="2"/>
      <scheme val="minor"/>
    </font>
    <font>
      <sz val="11"/>
      <color theme="1"/>
      <name val="Calibri"/>
      <family val="2"/>
    </font>
    <font>
      <b/>
      <sz val="11"/>
      <color theme="1"/>
      <name val="Calibri"/>
      <family val="2"/>
    </font>
    <font>
      <sz val="11"/>
      <color theme="1"/>
      <name val="Arial"/>
      <family val="2"/>
    </font>
    <font>
      <b/>
      <sz val="11"/>
      <color theme="1"/>
      <name val="Arial"/>
      <family val="2"/>
    </font>
    <font>
      <i/>
      <sz val="10"/>
      <name val="Century Gothic"/>
      <family val="2"/>
    </font>
    <font>
      <sz val="11"/>
      <color theme="1"/>
      <name val="Century Gothic"/>
      <family val="2"/>
    </font>
    <font>
      <b/>
      <sz val="10"/>
      <name val="Century Gothic"/>
      <family val="2"/>
    </font>
    <font>
      <b/>
      <sz val="12"/>
      <name val="Century Gothic"/>
      <family val="2"/>
    </font>
    <font>
      <sz val="10"/>
      <name val="Century Gothic"/>
      <family val="2"/>
    </font>
    <font>
      <sz val="8"/>
      <name val="Calibri"/>
      <family val="2"/>
      <scheme val="minor"/>
    </font>
    <font>
      <sz val="10"/>
      <color theme="1"/>
      <name val="Century Gothic"/>
      <family val="2"/>
    </font>
    <font>
      <sz val="10"/>
      <color theme="1"/>
      <name val="Calibri"/>
      <family val="2"/>
      <scheme val="minor"/>
    </font>
    <font>
      <b/>
      <sz val="10"/>
      <color theme="1"/>
      <name val="Century Gothic"/>
      <family val="2"/>
    </font>
    <font>
      <b/>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right/>
      <top/>
      <bottom style="mediumDashed">
        <color theme="0"/>
      </bottom>
      <diagonal/>
    </border>
    <border>
      <left/>
      <right/>
      <top style="mediumDashed">
        <color theme="0"/>
      </top>
      <bottom style="mediumDashed">
        <color theme="0"/>
      </bottom>
      <diagonal/>
    </border>
    <border>
      <left/>
      <right/>
      <top style="mediumDashed">
        <color theme="0"/>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276">
    <xf numFmtId="0" fontId="0" fillId="0" borderId="0" xfId="0"/>
    <xf numFmtId="0" fontId="2" fillId="0" borderId="0" xfId="0" applyFont="1"/>
    <xf numFmtId="4" fontId="2" fillId="0" borderId="0" xfId="0" applyNumberFormat="1" applyFont="1"/>
    <xf numFmtId="165" fontId="2" fillId="0" borderId="0" xfId="0" applyNumberFormat="1" applyFont="1"/>
    <xf numFmtId="4" fontId="2" fillId="0" borderId="2" xfId="0" applyNumberFormat="1" applyFont="1" applyBorder="1"/>
    <xf numFmtId="0" fontId="2" fillId="0" borderId="0" xfId="0" applyFont="1" applyAlignment="1">
      <alignment horizontal="left" wrapText="1"/>
    </xf>
    <xf numFmtId="4" fontId="2" fillId="0" borderId="1" xfId="0" applyNumberFormat="1" applyFont="1" applyBorder="1"/>
    <xf numFmtId="0" fontId="2" fillId="0" borderId="2" xfId="0" applyFont="1" applyBorder="1"/>
    <xf numFmtId="4" fontId="2" fillId="0" borderId="3" xfId="0" applyNumberFormat="1" applyFont="1" applyBorder="1"/>
    <xf numFmtId="0" fontId="2" fillId="0" borderId="10" xfId="0" applyFont="1" applyBorder="1"/>
    <xf numFmtId="165" fontId="4" fillId="0" borderId="2" xfId="0" applyNumberFormat="1" applyFont="1" applyBorder="1"/>
    <xf numFmtId="0" fontId="5" fillId="0" borderId="0" xfId="0" applyFont="1"/>
    <xf numFmtId="0" fontId="2" fillId="0" borderId="12" xfId="0" applyFont="1" applyBorder="1"/>
    <xf numFmtId="0" fontId="2" fillId="0" borderId="7" xfId="0" applyFont="1" applyBorder="1"/>
    <xf numFmtId="4" fontId="2" fillId="0" borderId="7" xfId="0" applyNumberFormat="1" applyFont="1" applyBorder="1"/>
    <xf numFmtId="0" fontId="2" fillId="0" borderId="1" xfId="0" applyFont="1" applyBorder="1"/>
    <xf numFmtId="165" fontId="2" fillId="0" borderId="2" xfId="0" applyNumberFormat="1" applyFont="1" applyBorder="1"/>
    <xf numFmtId="0" fontId="2" fillId="0" borderId="9" xfId="0" applyFont="1" applyBorder="1"/>
    <xf numFmtId="0" fontId="2" fillId="0" borderId="5" xfId="0" applyFont="1" applyBorder="1"/>
    <xf numFmtId="4" fontId="2" fillId="0" borderId="5" xfId="0" applyNumberFormat="1" applyFont="1" applyBorder="1"/>
    <xf numFmtId="165" fontId="2" fillId="0" borderId="6" xfId="0" applyNumberFormat="1" applyFont="1" applyBorder="1"/>
    <xf numFmtId="0" fontId="2" fillId="0" borderId="6" xfId="0" applyFont="1" applyBorder="1"/>
    <xf numFmtId="4" fontId="2" fillId="0" borderId="6" xfId="0" applyNumberFormat="1" applyFont="1" applyBorder="1"/>
    <xf numFmtId="14" fontId="1" fillId="0" borderId="4" xfId="0" applyNumberFormat="1" applyFont="1" applyBorder="1" applyAlignment="1">
      <alignment horizontal="center"/>
    </xf>
    <xf numFmtId="4" fontId="1" fillId="0" borderId="4" xfId="0" applyNumberFormat="1" applyFont="1" applyBorder="1"/>
    <xf numFmtId="0" fontId="1" fillId="0" borderId="1" xfId="0" applyFont="1" applyBorder="1" applyAlignment="1">
      <alignment horizontal="center"/>
    </xf>
    <xf numFmtId="0" fontId="0" fillId="0" borderId="10" xfId="0" applyBorder="1"/>
    <xf numFmtId="0" fontId="1" fillId="0" borderId="10" xfId="0" applyFont="1" applyBorder="1"/>
    <xf numFmtId="0" fontId="1" fillId="0" borderId="10" xfId="0" applyFont="1" applyBorder="1" applyAlignment="1">
      <alignment horizontal="center"/>
    </xf>
    <xf numFmtId="14" fontId="1" fillId="0" borderId="12" xfId="0" applyNumberFormat="1" applyFont="1" applyBorder="1" applyAlignment="1">
      <alignment horizontal="center"/>
    </xf>
    <xf numFmtId="16" fontId="1" fillId="0" borderId="1" xfId="0" quotePrefix="1" applyNumberFormat="1" applyFont="1" applyBorder="1" applyAlignment="1">
      <alignment horizontal="center"/>
    </xf>
    <xf numFmtId="0" fontId="1" fillId="0" borderId="3" xfId="0" applyFont="1" applyBorder="1" applyAlignment="1">
      <alignment horizontal="center"/>
    </xf>
    <xf numFmtId="1" fontId="3" fillId="4" borderId="1" xfId="0" applyNumberFormat="1" applyFont="1" applyFill="1" applyBorder="1" applyAlignment="1">
      <alignment horizontal="center"/>
    </xf>
    <xf numFmtId="4" fontId="1" fillId="0" borderId="4" xfId="0" applyNumberFormat="1" applyFont="1" applyBorder="1" applyAlignment="1">
      <alignment horizontal="center"/>
    </xf>
    <xf numFmtId="4" fontId="2" fillId="0" borderId="11" xfId="0" applyNumberFormat="1" applyFont="1" applyBorder="1"/>
    <xf numFmtId="165" fontId="4" fillId="0" borderId="6" xfId="0" applyNumberFormat="1" applyFont="1" applyBorder="1"/>
    <xf numFmtId="10" fontId="2" fillId="0" borderId="6" xfId="0" applyNumberFormat="1" applyFont="1" applyBorder="1"/>
    <xf numFmtId="1" fontId="3" fillId="4" borderId="2" xfId="0" applyNumberFormat="1" applyFont="1" applyFill="1" applyBorder="1" applyAlignment="1">
      <alignment horizontal="center"/>
    </xf>
    <xf numFmtId="1" fontId="3" fillId="4" borderId="1" xfId="0" quotePrefix="1" applyNumberFormat="1" applyFont="1" applyFill="1" applyBorder="1" applyAlignment="1">
      <alignment horizontal="center"/>
    </xf>
    <xf numFmtId="165" fontId="9" fillId="0" borderId="2" xfId="0" applyNumberFormat="1" applyFont="1" applyBorder="1"/>
    <xf numFmtId="0" fontId="0" fillId="0" borderId="10" xfId="0" quotePrefix="1" applyBorder="1"/>
    <xf numFmtId="165" fontId="2" fillId="6" borderId="7" xfId="0" applyNumberFormat="1" applyFont="1" applyFill="1" applyBorder="1" applyProtection="1">
      <protection locked="0"/>
    </xf>
    <xf numFmtId="165" fontId="2" fillId="6" borderId="23" xfId="0" applyNumberFormat="1" applyFont="1" applyFill="1" applyBorder="1" applyProtection="1">
      <protection locked="0"/>
    </xf>
    <xf numFmtId="165" fontId="2" fillId="6" borderId="2" xfId="0" applyNumberFormat="1" applyFont="1" applyFill="1" applyBorder="1" applyProtection="1">
      <protection locked="0"/>
    </xf>
    <xf numFmtId="4" fontId="2" fillId="6" borderId="2" xfId="0" applyNumberFormat="1" applyFont="1" applyFill="1" applyBorder="1" applyProtection="1">
      <protection locked="0"/>
    </xf>
    <xf numFmtId="4" fontId="1" fillId="0" borderId="2" xfId="0" applyNumberFormat="1" applyFont="1" applyBorder="1"/>
    <xf numFmtId="4" fontId="1" fillId="0" borderId="6" xfId="0" applyNumberFormat="1" applyFont="1" applyBorder="1"/>
    <xf numFmtId="165" fontId="9" fillId="0" borderId="6" xfId="0" applyNumberFormat="1" applyFont="1" applyBorder="1"/>
    <xf numFmtId="0" fontId="2" fillId="0" borderId="16" xfId="0" applyFont="1" applyBorder="1"/>
    <xf numFmtId="4" fontId="2" fillId="0" borderId="16" xfId="0" applyNumberFormat="1" applyFont="1" applyBorder="1"/>
    <xf numFmtId="0" fontId="2" fillId="0" borderId="18" xfId="0" applyFont="1" applyBorder="1"/>
    <xf numFmtId="0" fontId="0" fillId="0" borderId="19" xfId="0" applyBorder="1"/>
    <xf numFmtId="0" fontId="2" fillId="0" borderId="20" xfId="0" applyFont="1" applyBorder="1"/>
    <xf numFmtId="0" fontId="0" fillId="0" borderId="0" xfId="0" quotePrefix="1" applyAlignment="1">
      <alignment horizontal="left" indent="2"/>
    </xf>
    <xf numFmtId="165" fontId="1" fillId="0" borderId="2" xfId="0" applyNumberFormat="1" applyFont="1" applyBorder="1"/>
    <xf numFmtId="165" fontId="0" fillId="0" borderId="2" xfId="0" applyNumberFormat="1" applyBorder="1"/>
    <xf numFmtId="165" fontId="0" fillId="6" borderId="2" xfId="0" applyNumberFormat="1" applyFill="1" applyBorder="1" applyProtection="1">
      <protection locked="0"/>
    </xf>
    <xf numFmtId="4" fontId="0" fillId="0" borderId="6" xfId="0" quotePrefix="1" applyNumberFormat="1" applyBorder="1" applyAlignment="1">
      <alignment horizontal="right"/>
    </xf>
    <xf numFmtId="165" fontId="0" fillId="6" borderId="23" xfId="0" applyNumberFormat="1" applyFill="1" applyBorder="1" applyProtection="1">
      <protection locked="0"/>
    </xf>
    <xf numFmtId="4" fontId="7" fillId="0" borderId="6" xfId="0" applyNumberFormat="1" applyFont="1" applyBorder="1"/>
    <xf numFmtId="10" fontId="2" fillId="0" borderId="2" xfId="0" applyNumberFormat="1" applyFont="1" applyBorder="1" applyAlignment="1">
      <alignment horizontal="center"/>
    </xf>
    <xf numFmtId="0" fontId="0" fillId="0" borderId="18" xfId="0" applyBorder="1"/>
    <xf numFmtId="0" fontId="0" fillId="0" borderId="15" xfId="0" applyBorder="1"/>
    <xf numFmtId="4" fontId="0" fillId="0" borderId="16" xfId="0" applyNumberFormat="1" applyBorder="1" applyAlignment="1">
      <alignment horizontal="right"/>
    </xf>
    <xf numFmtId="4" fontId="0" fillId="0" borderId="20" xfId="0" applyNumberFormat="1" applyBorder="1" applyAlignment="1">
      <alignment horizontal="right"/>
    </xf>
    <xf numFmtId="165" fontId="2" fillId="0" borderId="23" xfId="0" applyNumberFormat="1" applyFont="1" applyBorder="1"/>
    <xf numFmtId="4" fontId="0" fillId="0" borderId="6" xfId="0" quotePrefix="1" applyNumberFormat="1" applyBorder="1" applyAlignment="1" applyProtection="1">
      <alignment horizontal="right"/>
      <protection locked="0"/>
    </xf>
    <xf numFmtId="4" fontId="2" fillId="0" borderId="2" xfId="0" applyNumberFormat="1" applyFont="1" applyBorder="1" applyProtection="1">
      <protection locked="0"/>
    </xf>
    <xf numFmtId="4" fontId="1" fillId="0" borderId="6" xfId="0" quotePrefix="1" applyNumberFormat="1" applyFont="1" applyBorder="1" applyAlignment="1">
      <alignment horizontal="right"/>
    </xf>
    <xf numFmtId="4" fontId="1" fillId="0" borderId="2" xfId="0" applyNumberFormat="1" applyFont="1" applyBorder="1" applyProtection="1">
      <protection locked="0"/>
    </xf>
    <xf numFmtId="165" fontId="2" fillId="6" borderId="1" xfId="0" applyNumberFormat="1" applyFont="1" applyFill="1" applyBorder="1" applyProtection="1">
      <protection locked="0"/>
    </xf>
    <xf numFmtId="0" fontId="2" fillId="6" borderId="24" xfId="0" applyFont="1" applyFill="1" applyBorder="1"/>
    <xf numFmtId="0" fontId="4" fillId="6" borderId="24" xfId="0" applyFont="1" applyFill="1" applyBorder="1"/>
    <xf numFmtId="4" fontId="4" fillId="6" borderId="24" xfId="0" applyNumberFormat="1" applyFont="1" applyFill="1" applyBorder="1"/>
    <xf numFmtId="0" fontId="2" fillId="6" borderId="25" xfId="0" applyFont="1" applyFill="1" applyBorder="1"/>
    <xf numFmtId="0" fontId="4" fillId="6" borderId="25" xfId="0" applyFont="1" applyFill="1" applyBorder="1"/>
    <xf numFmtId="4" fontId="4" fillId="6" borderId="25" xfId="0" applyNumberFormat="1" applyFont="1" applyFill="1" applyBorder="1"/>
    <xf numFmtId="0" fontId="2" fillId="6" borderId="26" xfId="0" applyFont="1" applyFill="1" applyBorder="1"/>
    <xf numFmtId="0" fontId="4" fillId="6" borderId="26" xfId="0" applyFont="1" applyFill="1" applyBorder="1"/>
    <xf numFmtId="4" fontId="4" fillId="6" borderId="26" xfId="0" applyNumberFormat="1" applyFont="1" applyFill="1" applyBorder="1"/>
    <xf numFmtId="0" fontId="0" fillId="6" borderId="24" xfId="0" quotePrefix="1" applyFill="1" applyBorder="1" applyProtection="1">
      <protection locked="0"/>
    </xf>
    <xf numFmtId="0" fontId="0" fillId="6" borderId="25" xfId="0" quotePrefix="1" applyFill="1" applyBorder="1" applyProtection="1">
      <protection locked="0"/>
    </xf>
    <xf numFmtId="0" fontId="0" fillId="6" borderId="26" xfId="0" quotePrefix="1" applyFill="1" applyBorder="1" applyProtection="1">
      <protection locked="0"/>
    </xf>
    <xf numFmtId="0" fontId="2" fillId="0" borderId="19" xfId="0" applyFont="1" applyBorder="1"/>
    <xf numFmtId="4" fontId="2" fillId="0" borderId="20" xfId="0" applyNumberFormat="1" applyFont="1" applyBorder="1"/>
    <xf numFmtId="0" fontId="1" fillId="0" borderId="27" xfId="0" applyFont="1" applyBorder="1" applyAlignment="1">
      <alignment horizontal="center"/>
    </xf>
    <xf numFmtId="0" fontId="1" fillId="0" borderId="28" xfId="0" applyFont="1" applyBorder="1" applyAlignment="1">
      <alignment horizontal="center"/>
    </xf>
    <xf numFmtId="0" fontId="2" fillId="0" borderId="29" xfId="0" applyFont="1" applyBorder="1"/>
    <xf numFmtId="4" fontId="2" fillId="0" borderId="29" xfId="0" applyNumberFormat="1" applyFont="1" applyBorder="1"/>
    <xf numFmtId="0" fontId="2" fillId="0" borderId="29" xfId="0" applyFont="1" applyBorder="1" applyAlignment="1">
      <alignment horizontal="right"/>
    </xf>
    <xf numFmtId="165" fontId="2" fillId="0" borderId="27" xfId="0" applyNumberFormat="1" applyFont="1" applyBorder="1" applyAlignment="1">
      <alignment horizontal="right"/>
    </xf>
    <xf numFmtId="165" fontId="2" fillId="0" borderId="28" xfId="0" applyNumberFormat="1" applyFont="1" applyBorder="1" applyAlignment="1">
      <alignment horizontal="right"/>
    </xf>
    <xf numFmtId="0" fontId="1" fillId="0" borderId="30" xfId="0" applyFont="1" applyBorder="1" applyAlignment="1">
      <alignment horizontal="center"/>
    </xf>
    <xf numFmtId="0" fontId="1" fillId="0" borderId="31" xfId="0" applyFont="1" applyBorder="1" applyAlignment="1">
      <alignment horizontal="center"/>
    </xf>
    <xf numFmtId="0" fontId="2" fillId="0" borderId="2" xfId="0" applyFont="1" applyBorder="1" applyAlignment="1">
      <alignment horizontal="right"/>
    </xf>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0" fontId="2" fillId="7" borderId="30" xfId="0" applyFont="1" applyFill="1" applyBorder="1" applyAlignment="1">
      <alignment horizontal="right"/>
    </xf>
    <xf numFmtId="0" fontId="2" fillId="7" borderId="31" xfId="0" applyFont="1" applyFill="1" applyBorder="1" applyAlignment="1">
      <alignment horizontal="right"/>
    </xf>
    <xf numFmtId="0" fontId="2" fillId="7" borderId="2" xfId="0" applyFont="1" applyFill="1" applyBorder="1" applyAlignment="1">
      <alignment horizontal="right"/>
    </xf>
    <xf numFmtId="4" fontId="0" fillId="0" borderId="0" xfId="0" applyNumberFormat="1" applyAlignment="1">
      <alignment horizontal="right"/>
    </xf>
    <xf numFmtId="4" fontId="1" fillId="0" borderId="1" xfId="0" applyNumberFormat="1" applyFont="1" applyBorder="1"/>
    <xf numFmtId="0" fontId="1" fillId="0" borderId="4" xfId="0" applyFont="1" applyBorder="1" applyAlignment="1">
      <alignment horizontal="center"/>
    </xf>
    <xf numFmtId="165" fontId="1" fillId="6" borderId="2" xfId="0" applyNumberFormat="1" applyFont="1" applyFill="1" applyBorder="1" applyProtection="1">
      <protection locked="0"/>
    </xf>
    <xf numFmtId="0" fontId="2" fillId="0" borderId="8" xfId="0" applyFont="1" applyBorder="1"/>
    <xf numFmtId="4" fontId="0" fillId="0" borderId="0" xfId="0" quotePrefix="1" applyNumberFormat="1" applyAlignment="1">
      <alignment horizontal="right"/>
    </xf>
    <xf numFmtId="0" fontId="0" fillId="0" borderId="10" xfId="0" quotePrefix="1" applyBorder="1" applyAlignment="1">
      <alignment horizontal="left" indent="2"/>
    </xf>
    <xf numFmtId="0" fontId="0" fillId="0" borderId="10" xfId="0" quotePrefix="1" applyBorder="1" applyAlignment="1">
      <alignment horizontal="left" indent="4"/>
    </xf>
    <xf numFmtId="4" fontId="2" fillId="0" borderId="0" xfId="0" applyNumberFormat="1" applyFont="1" applyAlignment="1">
      <alignment horizontal="right"/>
    </xf>
    <xf numFmtId="0" fontId="4" fillId="0" borderId="10" xfId="0" quotePrefix="1" applyFont="1" applyBorder="1" applyAlignment="1">
      <alignment horizontal="left" indent="2"/>
    </xf>
    <xf numFmtId="0" fontId="1" fillId="0" borderId="10" xfId="0" quotePrefix="1" applyFont="1" applyBorder="1"/>
    <xf numFmtId="0" fontId="0" fillId="0" borderId="0" xfId="0" quotePrefix="1"/>
    <xf numFmtId="0" fontId="4" fillId="0" borderId="10" xfId="0" quotePrefix="1" applyFont="1" applyBorder="1" applyAlignment="1">
      <alignment horizontal="left" indent="4"/>
    </xf>
    <xf numFmtId="3" fontId="1" fillId="0" borderId="0" xfId="0" applyNumberFormat="1" applyFont="1"/>
    <xf numFmtId="3" fontId="1" fillId="0" borderId="0" xfId="0" quotePrefix="1" applyNumberFormat="1" applyFont="1" applyAlignment="1">
      <alignment horizontal="right"/>
    </xf>
    <xf numFmtId="3" fontId="0" fillId="0" borderId="0" xfId="0" quotePrefix="1" applyNumberFormat="1" applyAlignment="1">
      <alignment horizontal="right"/>
    </xf>
    <xf numFmtId="4" fontId="1" fillId="0" borderId="0" xfId="0" quotePrefix="1" applyNumberFormat="1" applyFont="1" applyAlignment="1">
      <alignment horizontal="right"/>
    </xf>
    <xf numFmtId="0" fontId="1" fillId="0" borderId="0" xfId="0" applyFont="1"/>
    <xf numFmtId="4" fontId="1" fillId="0" borderId="0" xfId="0" applyNumberFormat="1" applyFont="1"/>
    <xf numFmtId="0" fontId="4" fillId="0" borderId="0" xfId="0" applyFont="1"/>
    <xf numFmtId="4" fontId="4" fillId="0" borderId="0" xfId="0" applyNumberFormat="1" applyFont="1"/>
    <xf numFmtId="0" fontId="1" fillId="0" borderId="12" xfId="0" applyFont="1" applyBorder="1"/>
    <xf numFmtId="0" fontId="1" fillId="0" borderId="7" xfId="0" applyFont="1" applyBorder="1"/>
    <xf numFmtId="0" fontId="1" fillId="3" borderId="13" xfId="0" applyFont="1" applyFill="1" applyBorder="1"/>
    <xf numFmtId="0" fontId="2" fillId="3" borderId="14" xfId="0" applyFont="1" applyFill="1" applyBorder="1"/>
    <xf numFmtId="14" fontId="8" fillId="0" borderId="0" xfId="0" applyNumberFormat="1" applyFont="1" applyAlignment="1">
      <alignment horizontal="center"/>
    </xf>
    <xf numFmtId="4" fontId="7" fillId="0" borderId="0" xfId="0" applyNumberFormat="1" applyFont="1"/>
    <xf numFmtId="0" fontId="1" fillId="3" borderId="0" xfId="0" applyFont="1" applyFill="1"/>
    <xf numFmtId="0" fontId="1" fillId="5" borderId="14" xfId="0" applyFont="1" applyFill="1" applyBorder="1"/>
    <xf numFmtId="0" fontId="3" fillId="4" borderId="13" xfId="0" applyFont="1" applyFill="1" applyBorder="1"/>
    <xf numFmtId="0" fontId="3" fillId="4" borderId="14" xfId="0" applyFont="1" applyFill="1" applyBorder="1"/>
    <xf numFmtId="0" fontId="6" fillId="4" borderId="14" xfId="0" applyFont="1" applyFill="1" applyBorder="1"/>
    <xf numFmtId="4" fontId="6" fillId="4" borderId="14" xfId="0" applyNumberFormat="1" applyFont="1" applyFill="1" applyBorder="1"/>
    <xf numFmtId="1" fontId="3" fillId="4" borderId="14" xfId="0" applyNumberFormat="1" applyFont="1" applyFill="1" applyBorder="1" applyAlignment="1">
      <alignment horizontal="center"/>
    </xf>
    <xf numFmtId="1" fontId="3" fillId="4" borderId="22" xfId="0" applyNumberFormat="1" applyFont="1" applyFill="1" applyBorder="1" applyAlignment="1">
      <alignment horizontal="center"/>
    </xf>
    <xf numFmtId="0" fontId="12" fillId="0" borderId="15" xfId="0" applyFont="1" applyBorder="1"/>
    <xf numFmtId="0" fontId="12" fillId="0" borderId="17" xfId="0" applyFont="1" applyBorder="1"/>
    <xf numFmtId="0" fontId="12" fillId="0" borderId="18" xfId="0" applyFont="1" applyBorder="1"/>
    <xf numFmtId="0" fontId="13" fillId="0" borderId="0" xfId="0" applyFont="1" applyAlignment="1">
      <alignment horizontal="center"/>
    </xf>
    <xf numFmtId="0" fontId="12" fillId="0" borderId="32" xfId="0" applyFont="1" applyBorder="1"/>
    <xf numFmtId="0" fontId="12" fillId="0" borderId="19" xfId="0" applyFont="1" applyBorder="1"/>
    <xf numFmtId="0" fontId="12" fillId="0" borderId="20" xfId="0" applyFont="1" applyBorder="1"/>
    <xf numFmtId="0" fontId="12" fillId="0" borderId="21" xfId="0" applyFont="1" applyBorder="1"/>
    <xf numFmtId="4" fontId="14" fillId="0" borderId="0" xfId="1" applyNumberFormat="1" applyFont="1" applyBorder="1" applyAlignment="1">
      <alignment horizontal="right"/>
    </xf>
    <xf numFmtId="1" fontId="15" fillId="0" borderId="0" xfId="1" applyNumberFormat="1" applyFont="1"/>
    <xf numFmtId="0" fontId="15" fillId="0" borderId="0" xfId="1" applyNumberFormat="1" applyFont="1" applyBorder="1"/>
    <xf numFmtId="4" fontId="15" fillId="0" borderId="1" xfId="1" applyNumberFormat="1" applyFont="1" applyBorder="1" applyAlignment="1">
      <alignment horizontal="right"/>
    </xf>
    <xf numFmtId="164" fontId="15" fillId="0" borderId="0" xfId="1" applyFont="1"/>
    <xf numFmtId="4" fontId="16" fillId="0" borderId="3" xfId="1" applyNumberFormat="1" applyFont="1" applyBorder="1" applyAlignment="1">
      <alignment horizontal="right"/>
    </xf>
    <xf numFmtId="4" fontId="16" fillId="0" borderId="3" xfId="1" quotePrefix="1" applyNumberFormat="1" applyFont="1" applyBorder="1" applyAlignment="1">
      <alignment horizontal="right"/>
    </xf>
    <xf numFmtId="4" fontId="15" fillId="0" borderId="0" xfId="1" applyNumberFormat="1" applyFont="1" applyAlignment="1">
      <alignment horizontal="right"/>
    </xf>
    <xf numFmtId="1" fontId="17" fillId="0" borderId="0" xfId="1" applyNumberFormat="1" applyFont="1"/>
    <xf numFmtId="0" fontId="17" fillId="0" borderId="0" xfId="1" applyNumberFormat="1" applyFont="1"/>
    <xf numFmtId="4" fontId="17" fillId="0" borderId="0" xfId="1" applyNumberFormat="1" applyFont="1" applyBorder="1" applyAlignment="1">
      <alignment horizontal="right"/>
    </xf>
    <xf numFmtId="4" fontId="17" fillId="0" borderId="0" xfId="1" applyNumberFormat="1" applyFont="1" applyAlignment="1">
      <alignment horizontal="right"/>
    </xf>
    <xf numFmtId="164" fontId="17" fillId="0" borderId="0" xfId="1" applyFont="1"/>
    <xf numFmtId="1" fontId="17" fillId="0" borderId="0" xfId="1" applyNumberFormat="1" applyFont="1" applyAlignment="1"/>
    <xf numFmtId="0" fontId="17" fillId="0" borderId="33" xfId="1" applyNumberFormat="1" applyFont="1" applyBorder="1" applyAlignment="1"/>
    <xf numFmtId="4" fontId="17" fillId="0" borderId="34" xfId="1" applyNumberFormat="1" applyFont="1" applyBorder="1" applyAlignment="1">
      <alignment horizontal="right"/>
    </xf>
    <xf numFmtId="164" fontId="17" fillId="0" borderId="0" xfId="1" applyFont="1" applyBorder="1" applyAlignment="1"/>
    <xf numFmtId="164" fontId="17" fillId="0" borderId="0" xfId="1" applyFont="1" applyAlignment="1"/>
    <xf numFmtId="0" fontId="17" fillId="0" borderId="0" xfId="1" applyNumberFormat="1" applyFont="1" applyBorder="1" applyAlignment="1"/>
    <xf numFmtId="4" fontId="17" fillId="0" borderId="0" xfId="1" applyNumberFormat="1" applyFont="1" applyBorder="1" applyAlignment="1"/>
    <xf numFmtId="0" fontId="15" fillId="0" borderId="4" xfId="1" applyNumberFormat="1" applyFont="1" applyBorder="1"/>
    <xf numFmtId="4" fontId="15" fillId="0" borderId="4" xfId="1" applyNumberFormat="1" applyFont="1" applyBorder="1" applyAlignment="1">
      <alignment horizontal="right"/>
    </xf>
    <xf numFmtId="0" fontId="18" fillId="0" borderId="0" xfId="1" applyNumberFormat="1" applyFont="1" applyBorder="1"/>
    <xf numFmtId="4" fontId="15" fillId="0" borderId="0" xfId="1" applyNumberFormat="1" applyFont="1" applyBorder="1" applyAlignment="1">
      <alignment horizontal="right"/>
    </xf>
    <xf numFmtId="4" fontId="15" fillId="8" borderId="0" xfId="1" applyNumberFormat="1" applyFont="1" applyFill="1" applyBorder="1" applyAlignment="1">
      <alignment horizontal="right"/>
    </xf>
    <xf numFmtId="164" fontId="18" fillId="0" borderId="0" xfId="1" applyFont="1"/>
    <xf numFmtId="0" fontId="18" fillId="0" borderId="0" xfId="1" applyNumberFormat="1" applyFont="1"/>
    <xf numFmtId="0" fontId="15" fillId="0" borderId="0" xfId="1" applyNumberFormat="1" applyFont="1"/>
    <xf numFmtId="0" fontId="18" fillId="0" borderId="4" xfId="1" applyNumberFormat="1" applyFont="1" applyBorder="1"/>
    <xf numFmtId="1" fontId="15" fillId="0" borderId="0" xfId="1" applyNumberFormat="1" applyFont="1" applyAlignment="1">
      <alignment horizontal="left"/>
    </xf>
    <xf numFmtId="1" fontId="15" fillId="0" borderId="0" xfId="1" applyNumberFormat="1" applyFont="1" applyAlignment="1">
      <alignment horizontal="right"/>
    </xf>
    <xf numFmtId="4" fontId="18" fillId="0" borderId="0" xfId="1" applyNumberFormat="1" applyFont="1" applyAlignment="1">
      <alignment horizontal="right"/>
    </xf>
    <xf numFmtId="9" fontId="15" fillId="0" borderId="0" xfId="2" applyFont="1"/>
    <xf numFmtId="4" fontId="15" fillId="8" borderId="4" xfId="1" applyNumberFormat="1" applyFont="1" applyFill="1" applyBorder="1" applyAlignment="1">
      <alignment horizontal="right"/>
    </xf>
    <xf numFmtId="4" fontId="0" fillId="0" borderId="0" xfId="0" applyNumberFormat="1"/>
    <xf numFmtId="3" fontId="0" fillId="0" borderId="0" xfId="0" applyNumberFormat="1"/>
    <xf numFmtId="1" fontId="0" fillId="0" borderId="0" xfId="0" applyNumberFormat="1"/>
    <xf numFmtId="4" fontId="16" fillId="0" borderId="0" xfId="1" applyNumberFormat="1" applyFont="1" applyBorder="1" applyAlignment="1">
      <alignment horizontal="right"/>
    </xf>
    <xf numFmtId="4" fontId="16" fillId="0" borderId="0" xfId="1" quotePrefix="1" applyNumberFormat="1" applyFont="1" applyBorder="1" applyAlignment="1">
      <alignment horizontal="right"/>
    </xf>
    <xf numFmtId="3" fontId="15" fillId="0" borderId="4" xfId="1" applyNumberFormat="1" applyFont="1" applyBorder="1" applyAlignment="1">
      <alignment horizontal="right"/>
    </xf>
    <xf numFmtId="3" fontId="16" fillId="0" borderId="0" xfId="1" quotePrefix="1" applyNumberFormat="1" applyFont="1" applyBorder="1" applyAlignment="1">
      <alignment horizontal="right"/>
    </xf>
    <xf numFmtId="1" fontId="20" fillId="0" borderId="0" xfId="1" applyNumberFormat="1" applyFont="1"/>
    <xf numFmtId="0" fontId="20" fillId="0" borderId="0" xfId="1" applyNumberFormat="1" applyFont="1" applyBorder="1"/>
    <xf numFmtId="4" fontId="20" fillId="0" borderId="0" xfId="1" applyNumberFormat="1" applyFont="1" applyBorder="1" applyAlignment="1">
      <alignment horizontal="right"/>
    </xf>
    <xf numFmtId="4" fontId="20" fillId="0" borderId="0" xfId="1" applyNumberFormat="1" applyFont="1" applyAlignment="1">
      <alignment horizontal="right"/>
    </xf>
    <xf numFmtId="164" fontId="20" fillId="0" borderId="0" xfId="1" applyFont="1"/>
    <xf numFmtId="4" fontId="20" fillId="8" borderId="0" xfId="1" applyNumberFormat="1" applyFont="1" applyFill="1" applyBorder="1" applyAlignment="1">
      <alignment horizontal="right"/>
    </xf>
    <xf numFmtId="4" fontId="20" fillId="8" borderId="0" xfId="1" applyNumberFormat="1" applyFont="1" applyFill="1" applyAlignment="1">
      <alignment horizontal="right"/>
    </xf>
    <xf numFmtId="0" fontId="20" fillId="0" borderId="0" xfId="1" applyNumberFormat="1" applyFont="1"/>
    <xf numFmtId="1" fontId="20" fillId="0" borderId="0" xfId="1" applyNumberFormat="1" applyFont="1" applyAlignment="1">
      <alignment horizontal="left"/>
    </xf>
    <xf numFmtId="167" fontId="20" fillId="0" borderId="0" xfId="1" applyNumberFormat="1" applyFont="1"/>
    <xf numFmtId="0" fontId="20" fillId="0" borderId="4" xfId="1" applyNumberFormat="1" applyFont="1" applyBorder="1"/>
    <xf numFmtId="4" fontId="20" fillId="0" borderId="4" xfId="1" applyNumberFormat="1" applyFont="1" applyBorder="1" applyAlignment="1">
      <alignment horizontal="right"/>
    </xf>
    <xf numFmtId="0" fontId="21" fillId="0" borderId="0" xfId="0" applyFont="1"/>
    <xf numFmtId="4" fontId="20" fillId="0" borderId="0" xfId="1" applyNumberFormat="1" applyFont="1" applyFill="1" applyBorder="1" applyAlignment="1">
      <alignment horizontal="right"/>
    </xf>
    <xf numFmtId="0" fontId="21" fillId="0" borderId="0" xfId="0" applyFont="1" applyFill="1"/>
    <xf numFmtId="4" fontId="20" fillId="0" borderId="0" xfId="1" applyNumberFormat="1" applyFont="1" applyFill="1" applyAlignment="1">
      <alignment horizontal="right"/>
    </xf>
    <xf numFmtId="1" fontId="22" fillId="0" borderId="0" xfId="1" applyNumberFormat="1" applyFont="1"/>
    <xf numFmtId="0" fontId="22" fillId="0" borderId="4" xfId="1" applyNumberFormat="1" applyFont="1" applyBorder="1"/>
    <xf numFmtId="4" fontId="22" fillId="0" borderId="4" xfId="1" applyNumberFormat="1" applyFont="1" applyBorder="1" applyAlignment="1">
      <alignment horizontal="right"/>
    </xf>
    <xf numFmtId="164" fontId="22" fillId="0" borderId="0" xfId="1" applyFont="1"/>
    <xf numFmtId="1" fontId="22" fillId="0" borderId="0" xfId="1" applyNumberFormat="1" applyFont="1" applyAlignment="1">
      <alignment horizontal="left"/>
    </xf>
    <xf numFmtId="167" fontId="22" fillId="0" borderId="0" xfId="1" applyNumberFormat="1" applyFont="1"/>
    <xf numFmtId="164" fontId="16" fillId="0" borderId="0" xfId="1" applyFont="1"/>
    <xf numFmtId="0" fontId="23" fillId="0" borderId="0" xfId="0" applyFont="1"/>
    <xf numFmtId="4" fontId="15" fillId="0" borderId="0" xfId="1" applyNumberFormat="1" applyFont="1" applyFill="1" applyBorder="1" applyAlignment="1">
      <alignment horizontal="right"/>
    </xf>
    <xf numFmtId="4" fontId="1" fillId="0" borderId="0" xfId="0" applyNumberFormat="1" applyFont="1" applyAlignment="1">
      <alignment horizontal="right"/>
    </xf>
    <xf numFmtId="167" fontId="20" fillId="8" borderId="0" xfId="1" applyNumberFormat="1" applyFont="1" applyFill="1"/>
    <xf numFmtId="1" fontId="20" fillId="0" borderId="0" xfId="1" applyNumberFormat="1" applyFont="1" applyAlignment="1"/>
    <xf numFmtId="0" fontId="0" fillId="8" borderId="0" xfId="0" applyFill="1"/>
    <xf numFmtId="4" fontId="0" fillId="8" borderId="0" xfId="0" applyNumberFormat="1" applyFill="1"/>
    <xf numFmtId="166" fontId="15" fillId="8" borderId="4" xfId="1" applyNumberFormat="1" applyFont="1" applyFill="1" applyBorder="1"/>
    <xf numFmtId="167" fontId="15" fillId="8" borderId="0" xfId="1" applyNumberFormat="1" applyFont="1" applyFill="1"/>
    <xf numFmtId="0" fontId="1" fillId="5" borderId="13" xfId="0" applyFont="1" applyFill="1" applyBorder="1"/>
    <xf numFmtId="4" fontId="1" fillId="5" borderId="14" xfId="0" applyNumberFormat="1" applyFont="1" applyFill="1" applyBorder="1"/>
    <xf numFmtId="165" fontId="1" fillId="5" borderId="14" xfId="0" applyNumberFormat="1" applyFont="1" applyFill="1" applyBorder="1"/>
    <xf numFmtId="165" fontId="1" fillId="5" borderId="22" xfId="0" applyNumberFormat="1" applyFont="1" applyFill="1" applyBorder="1"/>
    <xf numFmtId="4" fontId="1" fillId="3" borderId="0" xfId="0" applyNumberFormat="1" applyFont="1" applyFill="1"/>
    <xf numFmtId="165" fontId="1" fillId="3" borderId="0" xfId="0" applyNumberFormat="1" applyFont="1" applyFill="1"/>
    <xf numFmtId="0" fontId="1" fillId="3" borderId="14" xfId="0" applyFont="1" applyFill="1" applyBorder="1"/>
    <xf numFmtId="4" fontId="1" fillId="3" borderId="14" xfId="0" applyNumberFormat="1" applyFont="1" applyFill="1" applyBorder="1"/>
    <xf numFmtId="4" fontId="1" fillId="3" borderId="4" xfId="0" applyNumberFormat="1" applyFont="1" applyFill="1" applyBorder="1"/>
    <xf numFmtId="0" fontId="1" fillId="2" borderId="13" xfId="0" applyFont="1" applyFill="1" applyBorder="1"/>
    <xf numFmtId="0" fontId="1" fillId="2" borderId="14" xfId="0" applyFont="1" applyFill="1" applyBorder="1"/>
    <xf numFmtId="4" fontId="1" fillId="2" borderId="14" xfId="0" applyNumberFormat="1" applyFont="1" applyFill="1" applyBorder="1"/>
    <xf numFmtId="4" fontId="1" fillId="2" borderId="22" xfId="0" applyNumberFormat="1" applyFont="1" applyFill="1" applyBorder="1"/>
    <xf numFmtId="4" fontId="1" fillId="2" borderId="4" xfId="0" applyNumberFormat="1" applyFont="1" applyFill="1" applyBorder="1"/>
    <xf numFmtId="165" fontId="1" fillId="0" borderId="6" xfId="0" applyNumberFormat="1" applyFont="1" applyBorder="1"/>
    <xf numFmtId="165" fontId="1" fillId="2" borderId="22" xfId="0" applyNumberFormat="1" applyFont="1" applyFill="1" applyBorder="1"/>
    <xf numFmtId="165" fontId="1" fillId="2" borderId="4" xfId="0" applyNumberFormat="1" applyFont="1" applyFill="1" applyBorder="1"/>
    <xf numFmtId="0" fontId="20" fillId="8" borderId="0" xfId="1" applyNumberFormat="1" applyFont="1" applyFill="1"/>
    <xf numFmtId="4" fontId="17" fillId="0" borderId="35" xfId="1" applyNumberFormat="1" applyFont="1" applyBorder="1" applyAlignment="1">
      <alignment horizontal="right"/>
    </xf>
    <xf numFmtId="4" fontId="17" fillId="0" borderId="36" xfId="1" applyNumberFormat="1" applyFont="1" applyBorder="1" applyAlignment="1"/>
    <xf numFmtId="1" fontId="0" fillId="0" borderId="0" xfId="0" quotePrefix="1" applyNumberFormat="1"/>
    <xf numFmtId="0" fontId="1" fillId="0" borderId="13" xfId="0" applyFont="1" applyBorder="1"/>
    <xf numFmtId="4" fontId="1" fillId="0" borderId="14" xfId="0" applyNumberFormat="1" applyFont="1" applyBorder="1"/>
    <xf numFmtId="4" fontId="1" fillId="0" borderId="22" xfId="0" applyNumberFormat="1" applyFont="1" applyBorder="1"/>
    <xf numFmtId="9" fontId="15" fillId="8" borderId="0" xfId="2" applyFont="1" applyFill="1"/>
    <xf numFmtId="10" fontId="15" fillId="0" borderId="4" xfId="2" applyNumberFormat="1" applyFont="1" applyBorder="1" applyAlignment="1">
      <alignment horizontal="right"/>
    </xf>
    <xf numFmtId="10" fontId="15" fillId="0" borderId="0" xfId="2" applyNumberFormat="1" applyFont="1"/>
    <xf numFmtId="0" fontId="17" fillId="0" borderId="4" xfId="1" applyNumberFormat="1" applyFont="1" applyBorder="1"/>
    <xf numFmtId="4" fontId="17" fillId="0" borderId="4" xfId="1" applyNumberFormat="1" applyFont="1" applyBorder="1" applyAlignment="1">
      <alignment horizontal="right"/>
    </xf>
    <xf numFmtId="3" fontId="2" fillId="0" borderId="6" xfId="0" applyNumberFormat="1" applyFont="1" applyBorder="1" applyAlignment="1">
      <alignment horizontal="right" vertical="center"/>
    </xf>
    <xf numFmtId="0" fontId="1" fillId="0" borderId="15" xfId="0" applyFont="1" applyBorder="1" applyAlignment="1">
      <alignment horizontal="center"/>
    </xf>
    <xf numFmtId="0" fontId="1" fillId="0" borderId="16" xfId="0" applyFont="1" applyBorder="1" applyAlignment="1">
      <alignment horizontal="center"/>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4" fontId="1" fillId="0" borderId="9" xfId="0" applyNumberFormat="1" applyFont="1" applyBorder="1" applyAlignment="1">
      <alignment horizontal="center"/>
    </xf>
    <xf numFmtId="4" fontId="1" fillId="0" borderId="8" xfId="0" applyNumberFormat="1" applyFont="1" applyBorder="1" applyAlignment="1">
      <alignment horizontal="center"/>
    </xf>
    <xf numFmtId="4" fontId="1" fillId="0" borderId="13" xfId="0" applyNumberFormat="1" applyFont="1" applyBorder="1" applyAlignment="1">
      <alignment horizontal="center"/>
    </xf>
    <xf numFmtId="4" fontId="1" fillId="0" borderId="22" xfId="0" applyNumberFormat="1" applyFont="1" applyBorder="1" applyAlignment="1">
      <alignment horizontal="center"/>
    </xf>
    <xf numFmtId="0" fontId="3" fillId="4" borderId="9" xfId="0" applyFont="1" applyFill="1" applyBorder="1" applyAlignment="1">
      <alignment horizontal="left" vertical="center"/>
    </xf>
    <xf numFmtId="0" fontId="3" fillId="4" borderId="5" xfId="0" applyFont="1" applyFill="1" applyBorder="1" applyAlignment="1">
      <alignment horizontal="left" vertical="center"/>
    </xf>
    <xf numFmtId="0" fontId="3" fillId="4" borderId="8" xfId="0" applyFont="1" applyFill="1" applyBorder="1" applyAlignment="1">
      <alignment horizontal="left" vertical="center"/>
    </xf>
    <xf numFmtId="0" fontId="3" fillId="4" borderId="10" xfId="0" applyFont="1" applyFill="1" applyBorder="1" applyAlignment="1">
      <alignment horizontal="left" vertical="center"/>
    </xf>
    <xf numFmtId="0" fontId="3" fillId="4" borderId="0" xfId="0" applyFont="1" applyFill="1" applyAlignment="1">
      <alignment horizontal="left" vertical="center"/>
    </xf>
    <xf numFmtId="0" fontId="3" fillId="4" borderId="6" xfId="0" applyFont="1" applyFill="1" applyBorder="1" applyAlignment="1">
      <alignment horizontal="left" vertical="center"/>
    </xf>
    <xf numFmtId="1" fontId="3" fillId="4" borderId="1"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4" fontId="0" fillId="0" borderId="6" xfId="0" quotePrefix="1" applyNumberFormat="1" applyBorder="1" applyAlignment="1">
      <alignment horizontal="right" vertical="center"/>
    </xf>
    <xf numFmtId="4" fontId="2" fillId="0" borderId="6" xfId="0" applyNumberFormat="1" applyFont="1" applyBorder="1" applyAlignment="1">
      <alignment horizontal="right" vertical="center"/>
    </xf>
    <xf numFmtId="0" fontId="13" fillId="0" borderId="16" xfId="0" applyFont="1" applyBorder="1" applyAlignment="1">
      <alignment horizontal="center"/>
    </xf>
    <xf numFmtId="0" fontId="12" fillId="0" borderId="0" xfId="0" applyFont="1" applyAlignment="1">
      <alignment wrapText="1"/>
    </xf>
    <xf numFmtId="0" fontId="0" fillId="0" borderId="0" xfId="0" applyAlignment="1">
      <alignment wrapText="1"/>
    </xf>
  </cellXfs>
  <cellStyles count="3">
    <cellStyle name="Komma" xfId="1" builtinId="3"/>
    <cellStyle name="Procent" xfId="2" builtinId="5"/>
    <cellStyle name="Standaard" xfId="0" builtinId="0"/>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coopfabrik.b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coopfabrik.b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118409</xdr:colOff>
      <xdr:row>1</xdr:row>
      <xdr:rowOff>59268</xdr:rowOff>
    </xdr:from>
    <xdr:to>
      <xdr:col>9</xdr:col>
      <xdr:colOff>664131</xdr:colOff>
      <xdr:row>5</xdr:row>
      <xdr:rowOff>3044</xdr:rowOff>
    </xdr:to>
    <xdr:pic>
      <xdr:nvPicPr>
        <xdr:cNvPr id="2" name="Afbeelding 3">
          <a:hlinkClick xmlns:r="http://schemas.openxmlformats.org/officeDocument/2006/relationships" r:id="rId1"/>
          <a:extLst>
            <a:ext uri="{FF2B5EF4-FFF2-40B4-BE49-F238E27FC236}">
              <a16:creationId xmlns:a16="http://schemas.microsoft.com/office/drawing/2014/main" id="{ED61B59C-B19F-44DB-8271-DC42C64FF6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195109" y="249768"/>
          <a:ext cx="2107822" cy="705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118409</xdr:colOff>
      <xdr:row>1</xdr:row>
      <xdr:rowOff>59268</xdr:rowOff>
    </xdr:from>
    <xdr:to>
      <xdr:col>9</xdr:col>
      <xdr:colOff>664131</xdr:colOff>
      <xdr:row>5</xdr:row>
      <xdr:rowOff>3044</xdr:rowOff>
    </xdr:to>
    <xdr:pic>
      <xdr:nvPicPr>
        <xdr:cNvPr id="2" name="Afbeelding 3">
          <a:hlinkClick xmlns:r="http://schemas.openxmlformats.org/officeDocument/2006/relationships" r:id="rId1"/>
          <a:extLst>
            <a:ext uri="{FF2B5EF4-FFF2-40B4-BE49-F238E27FC236}">
              <a16:creationId xmlns:a16="http://schemas.microsoft.com/office/drawing/2014/main" id="{C2218B6A-5FF5-44BC-9B9A-92FDE7D9C8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195109" y="249768"/>
          <a:ext cx="2107822" cy="705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0C553-1045-4A91-9A8E-EF8439EF7B40}">
  <dimension ref="B7:O328"/>
  <sheetViews>
    <sheetView topLeftCell="A49" workbookViewId="0">
      <selection activeCell="J172" sqref="J172"/>
    </sheetView>
  </sheetViews>
  <sheetFormatPr baseColWidth="10" defaultColWidth="9.1640625" defaultRowHeight="15" x14ac:dyDescent="0.2"/>
  <cols>
    <col min="1" max="1" width="3.6640625" style="1" customWidth="1"/>
    <col min="2" max="6" width="9.1640625" style="1"/>
    <col min="7" max="7" width="11.6640625" style="2" customWidth="1"/>
    <col min="8" max="10" width="11.6640625" style="1" customWidth="1"/>
    <col min="11" max="12" width="9.1640625" style="1"/>
    <col min="13" max="15" width="9.83203125" style="1" bestFit="1" customWidth="1"/>
    <col min="16" max="16384" width="9.1640625" style="1"/>
  </cols>
  <sheetData>
    <row r="7" spans="2:12" ht="16" thickBot="1" x14ac:dyDescent="0.25"/>
    <row r="8" spans="2:12" x14ac:dyDescent="0.2">
      <c r="B8" s="246" t="s">
        <v>0</v>
      </c>
      <c r="C8" s="247"/>
      <c r="D8" s="247"/>
      <c r="E8" s="247"/>
      <c r="F8" s="247"/>
      <c r="G8" s="49"/>
      <c r="H8" s="92" t="s">
        <v>1</v>
      </c>
      <c r="I8" s="92" t="s">
        <v>2</v>
      </c>
      <c r="J8" s="85" t="s">
        <v>3</v>
      </c>
    </row>
    <row r="9" spans="2:12" ht="16" thickBot="1" x14ac:dyDescent="0.25">
      <c r="B9" s="83"/>
      <c r="C9" s="52"/>
      <c r="D9" s="52"/>
      <c r="E9" s="52"/>
      <c r="F9" s="52"/>
      <c r="G9" s="84"/>
      <c r="H9" s="93" t="s">
        <v>4</v>
      </c>
      <c r="I9" s="93" t="s">
        <v>5</v>
      </c>
      <c r="J9" s="86" t="s">
        <v>5</v>
      </c>
    </row>
    <row r="10" spans="2:12" hidden="1" x14ac:dyDescent="0.2">
      <c r="B10" s="50"/>
      <c r="H10" s="7"/>
      <c r="I10" s="7"/>
      <c r="J10" s="87"/>
    </row>
    <row r="11" spans="2:12" x14ac:dyDescent="0.2">
      <c r="B11" s="50"/>
      <c r="G11" s="100" t="s">
        <v>6</v>
      </c>
      <c r="H11" s="4">
        <f>+Tot_Act_J0</f>
        <v>4000</v>
      </c>
      <c r="I11" s="4" t="e">
        <f>+Tot_Act_J1</f>
        <v>#REF!</v>
      </c>
      <c r="J11" s="88" t="e">
        <f>+Tot_Act_J2</f>
        <v>#REF!</v>
      </c>
    </row>
    <row r="12" spans="2:12" ht="16" thickBot="1" x14ac:dyDescent="0.25">
      <c r="B12" s="50"/>
      <c r="G12" s="100" t="s">
        <v>7</v>
      </c>
      <c r="H12" s="4">
        <f>Tot_Pas_J0</f>
        <v>4000</v>
      </c>
      <c r="I12" s="4" t="e">
        <f>Tot_Pas_J1</f>
        <v>#REF!</v>
      </c>
      <c r="J12" s="88" t="e">
        <f>Tot_Pas_J2</f>
        <v>#REF!</v>
      </c>
      <c r="L12" s="2"/>
    </row>
    <row r="13" spans="2:12" ht="16" hidden="1" thickBot="1" x14ac:dyDescent="0.25">
      <c r="B13" s="61"/>
      <c r="H13" s="94" t="str">
        <f>IF(Tot_Act_J0=Tot_Pas_J0,"OK","ERR")</f>
        <v>OK</v>
      </c>
      <c r="I13" s="94" t="e">
        <f>IF(Tot_Act_J1=Tot_Pas_J1,"OK","ERR")</f>
        <v>#REF!</v>
      </c>
      <c r="J13" s="89" t="e">
        <f>IF(Tot_Act_J2=Tot_Pas_J2,"OK","ERR")</f>
        <v>#REF!</v>
      </c>
    </row>
    <row r="14" spans="2:12" x14ac:dyDescent="0.2">
      <c r="B14" s="62"/>
      <c r="C14" s="48"/>
      <c r="D14" s="48"/>
      <c r="E14" s="48"/>
      <c r="F14" s="48"/>
      <c r="G14" s="63" t="s">
        <v>8</v>
      </c>
      <c r="H14" s="97"/>
      <c r="I14" s="95">
        <f>+I181</f>
        <v>6784.23</v>
      </c>
      <c r="J14" s="90">
        <f>+J181</f>
        <v>15871.669999999998</v>
      </c>
    </row>
    <row r="15" spans="2:12" ht="16" thickBot="1" x14ac:dyDescent="0.25">
      <c r="B15" s="51"/>
      <c r="C15" s="52"/>
      <c r="D15" s="52"/>
      <c r="E15" s="52"/>
      <c r="F15" s="52"/>
      <c r="G15" s="64" t="s">
        <v>9</v>
      </c>
      <c r="H15" s="98"/>
      <c r="I15" s="96">
        <f>+I246</f>
        <v>6784.23</v>
      </c>
      <c r="J15" s="91">
        <f>+J246-I15</f>
        <v>15871.669999999998</v>
      </c>
    </row>
    <row r="16" spans="2:12" x14ac:dyDescent="0.2">
      <c r="B16" s="61"/>
      <c r="G16" s="100" t="s">
        <v>10</v>
      </c>
      <c r="H16" s="99"/>
      <c r="I16" s="95" t="e">
        <f>+CashFlow_J1</f>
        <v>#REF!</v>
      </c>
      <c r="J16" s="90" t="e">
        <f>+J328</f>
        <v>#REF!</v>
      </c>
    </row>
    <row r="17" spans="2:10" ht="16" thickBot="1" x14ac:dyDescent="0.25">
      <c r="B17" s="51"/>
      <c r="C17" s="52"/>
      <c r="D17" s="52"/>
      <c r="E17" s="52"/>
      <c r="F17" s="52"/>
      <c r="G17" s="64" t="s">
        <v>11</v>
      </c>
      <c r="H17" s="98"/>
      <c r="I17" s="96" t="e">
        <f>+LiqMid_J1-LiqMid_J0</f>
        <v>#REF!</v>
      </c>
      <c r="J17" s="91" t="e">
        <f>+LiqMid_J2-LiqMid_J1</f>
        <v>#REF!</v>
      </c>
    </row>
    <row r="19" spans="2:10" x14ac:dyDescent="0.2">
      <c r="H19" s="3"/>
      <c r="I19" s="3"/>
      <c r="J19" s="3"/>
    </row>
    <row r="20" spans="2:10" x14ac:dyDescent="0.2">
      <c r="B20" s="248" t="s">
        <v>12</v>
      </c>
      <c r="C20" s="249"/>
      <c r="D20" s="249"/>
      <c r="E20" s="249"/>
      <c r="F20" s="249"/>
      <c r="G20" s="249"/>
      <c r="H20" s="249"/>
      <c r="I20" s="249"/>
      <c r="J20" s="250"/>
    </row>
    <row r="21" spans="2:10" x14ac:dyDescent="0.2">
      <c r="B21" s="251"/>
      <c r="C21" s="252"/>
      <c r="D21" s="252"/>
      <c r="E21" s="252"/>
      <c r="F21" s="252"/>
      <c r="G21" s="252"/>
      <c r="H21" s="252"/>
      <c r="I21" s="252"/>
      <c r="J21" s="253"/>
    </row>
    <row r="22" spans="2:10" x14ac:dyDescent="0.2">
      <c r="H22" s="3"/>
      <c r="I22" s="3"/>
      <c r="J22" s="3"/>
    </row>
    <row r="23" spans="2:10" x14ac:dyDescent="0.2">
      <c r="H23" s="3"/>
      <c r="I23" s="3"/>
      <c r="J23" s="3"/>
    </row>
    <row r="24" spans="2:10" x14ac:dyDescent="0.2">
      <c r="B24" s="216" t="s">
        <v>13</v>
      </c>
      <c r="C24" s="128" t="s">
        <v>14</v>
      </c>
      <c r="D24" s="128"/>
      <c r="E24" s="128"/>
      <c r="F24" s="128"/>
      <c r="G24" s="217"/>
      <c r="H24" s="218"/>
      <c r="I24" s="218"/>
      <c r="J24" s="219"/>
    </row>
    <row r="25" spans="2:10" x14ac:dyDescent="0.2">
      <c r="H25" s="3"/>
      <c r="I25" s="3"/>
      <c r="J25" s="3"/>
    </row>
    <row r="26" spans="2:10" x14ac:dyDescent="0.2">
      <c r="B26" s="129" t="s">
        <v>15</v>
      </c>
      <c r="C26" s="130"/>
      <c r="D26" s="131"/>
      <c r="E26" s="131"/>
      <c r="F26" s="131"/>
      <c r="G26" s="132"/>
      <c r="H26" s="133"/>
      <c r="I26" s="133"/>
      <c r="J26" s="134"/>
    </row>
    <row r="27" spans="2:10" x14ac:dyDescent="0.2">
      <c r="B27"/>
      <c r="H27" s="3"/>
      <c r="I27" s="3"/>
      <c r="J27" s="3"/>
    </row>
    <row r="28" spans="2:10" x14ac:dyDescent="0.2">
      <c r="B28" t="s">
        <v>16</v>
      </c>
      <c r="H28" s="41">
        <f>CP_Totaal_inbreng_Bkj1</f>
        <v>4000</v>
      </c>
    </row>
    <row r="29" spans="2:10" x14ac:dyDescent="0.2">
      <c r="B29" s="127" t="s">
        <v>17</v>
      </c>
      <c r="C29" s="127"/>
      <c r="D29" s="127"/>
      <c r="E29" s="127"/>
      <c r="F29" s="127"/>
      <c r="G29" s="220"/>
      <c r="H29" s="221">
        <f>+H28</f>
        <v>4000</v>
      </c>
    </row>
    <row r="30" spans="2:10" x14ac:dyDescent="0.2">
      <c r="B30"/>
      <c r="I30" s="2"/>
      <c r="J30" s="2"/>
    </row>
    <row r="31" spans="2:10" x14ac:dyDescent="0.2">
      <c r="B31"/>
      <c r="I31" s="2"/>
      <c r="J31" s="2"/>
    </row>
    <row r="32" spans="2:10" x14ac:dyDescent="0.2">
      <c r="B32" s="129" t="s">
        <v>18</v>
      </c>
      <c r="C32" s="130"/>
      <c r="D32" s="131"/>
      <c r="E32" s="131"/>
      <c r="F32" s="131"/>
      <c r="G32" s="132"/>
      <c r="H32" s="133"/>
      <c r="I32" s="133"/>
      <c r="J32" s="134"/>
    </row>
    <row r="33" spans="2:10" x14ac:dyDescent="0.2">
      <c r="B33"/>
      <c r="I33" s="2"/>
      <c r="J33" s="2"/>
    </row>
    <row r="34" spans="2:10" ht="16" thickBot="1" x14ac:dyDescent="0.25">
      <c r="B34" s="117" t="s">
        <v>19</v>
      </c>
      <c r="I34" s="2"/>
      <c r="J34" s="2"/>
    </row>
    <row r="35" spans="2:10" ht="17" thickTop="1" thickBot="1" x14ac:dyDescent="0.25">
      <c r="B35" s="111" t="s">
        <v>20</v>
      </c>
      <c r="H35" s="42"/>
      <c r="I35" s="2"/>
      <c r="J35" s="2"/>
    </row>
    <row r="36" spans="2:10" ht="17" thickTop="1" thickBot="1" x14ac:dyDescent="0.25">
      <c r="B36" s="111" t="s">
        <v>21</v>
      </c>
      <c r="H36" s="65">
        <v>0</v>
      </c>
      <c r="I36" s="2"/>
      <c r="J36" s="2"/>
    </row>
    <row r="37" spans="2:10" ht="17" thickTop="1" thickBot="1" x14ac:dyDescent="0.25">
      <c r="B37" s="53" t="s">
        <v>22</v>
      </c>
      <c r="H37" s="42">
        <v>0</v>
      </c>
      <c r="I37" s="2"/>
      <c r="J37" s="2"/>
    </row>
    <row r="38" spans="2:10" ht="17" thickTop="1" thickBot="1" x14ac:dyDescent="0.25">
      <c r="B38" s="53" t="s">
        <v>23</v>
      </c>
      <c r="H38" s="42"/>
      <c r="I38" s="2"/>
      <c r="J38" s="2"/>
    </row>
    <row r="39" spans="2:10" ht="17" thickTop="1" thickBot="1" x14ac:dyDescent="0.25">
      <c r="B39" s="53" t="s">
        <v>24</v>
      </c>
      <c r="H39" s="42"/>
      <c r="I39" s="2"/>
      <c r="J39" s="2"/>
    </row>
    <row r="40" spans="2:10" ht="17" thickTop="1" thickBot="1" x14ac:dyDescent="0.25">
      <c r="B40" s="53" t="s">
        <v>25</v>
      </c>
      <c r="H40" s="42"/>
      <c r="I40" s="2"/>
      <c r="J40" s="2"/>
    </row>
    <row r="41" spans="2:10" ht="16" thickTop="1" x14ac:dyDescent="0.2">
      <c r="B41" s="111"/>
      <c r="F41"/>
      <c r="H41" s="2"/>
      <c r="I41" s="2"/>
      <c r="J41" s="2"/>
    </row>
    <row r="42" spans="2:10" ht="16" thickBot="1" x14ac:dyDescent="0.25">
      <c r="B42" s="117" t="s">
        <v>26</v>
      </c>
      <c r="F42"/>
      <c r="H42" s="2"/>
      <c r="I42" s="2"/>
      <c r="J42" s="2"/>
    </row>
    <row r="43" spans="2:10" ht="17" thickTop="1" thickBot="1" x14ac:dyDescent="0.25">
      <c r="B43" s="111" t="s">
        <v>27</v>
      </c>
      <c r="H43" s="42"/>
      <c r="I43" s="2"/>
      <c r="J43" s="2"/>
    </row>
    <row r="44" spans="2:10" ht="17" thickTop="1" thickBot="1" x14ac:dyDescent="0.25">
      <c r="B44" s="111" t="s">
        <v>28</v>
      </c>
      <c r="H44" s="2"/>
      <c r="I44" s="2"/>
      <c r="J44" s="2"/>
    </row>
    <row r="45" spans="2:10" s="53" customFormat="1" ht="17" thickTop="1" thickBot="1" x14ac:dyDescent="0.25">
      <c r="B45" s="53" t="s">
        <v>29</v>
      </c>
      <c r="H45" s="42"/>
    </row>
    <row r="46" spans="2:10" ht="17" thickTop="1" thickBot="1" x14ac:dyDescent="0.25">
      <c r="B46" s="53" t="s">
        <v>30</v>
      </c>
      <c r="H46" s="42"/>
      <c r="I46" s="2"/>
      <c r="J46" s="2"/>
    </row>
    <row r="47" spans="2:10" ht="16" thickTop="1" x14ac:dyDescent="0.2">
      <c r="B47" s="111"/>
      <c r="H47" s="2"/>
      <c r="I47" s="2"/>
      <c r="J47" s="2"/>
    </row>
    <row r="48" spans="2:10" ht="16" thickBot="1" x14ac:dyDescent="0.25">
      <c r="B48" s="117" t="s">
        <v>31</v>
      </c>
      <c r="I48" s="2"/>
      <c r="J48" s="2"/>
    </row>
    <row r="49" spans="2:10" ht="17" thickTop="1" thickBot="1" x14ac:dyDescent="0.25">
      <c r="B49" s="111" t="s">
        <v>32</v>
      </c>
      <c r="H49" s="42"/>
      <c r="I49" s="2"/>
      <c r="J49" s="2"/>
    </row>
    <row r="50" spans="2:10" ht="17" thickTop="1" thickBot="1" x14ac:dyDescent="0.25">
      <c r="B50" s="111" t="s">
        <v>33</v>
      </c>
      <c r="D50"/>
      <c r="H50" s="42"/>
    </row>
    <row r="51" spans="2:10" ht="17" thickTop="1" thickBot="1" x14ac:dyDescent="0.25">
      <c r="B51" s="111" t="s">
        <v>34</v>
      </c>
      <c r="H51" s="42"/>
    </row>
    <row r="52" spans="2:10" ht="16" thickTop="1" x14ac:dyDescent="0.2">
      <c r="B52"/>
      <c r="I52" s="2"/>
      <c r="J52" s="2"/>
    </row>
    <row r="53" spans="2:10" x14ac:dyDescent="0.2">
      <c r="B53" s="127" t="s">
        <v>35</v>
      </c>
      <c r="C53" s="127"/>
      <c r="D53" s="127"/>
      <c r="E53" s="127"/>
      <c r="F53" s="127"/>
      <c r="G53" s="220"/>
      <c r="H53" s="221">
        <f>SUM(H35:H46)-SUM(H49:H51)</f>
        <v>0</v>
      </c>
      <c r="I53" s="2"/>
      <c r="J53" s="2"/>
    </row>
    <row r="54" spans="2:10" x14ac:dyDescent="0.2">
      <c r="I54" s="2"/>
      <c r="J54" s="2"/>
    </row>
    <row r="55" spans="2:10" x14ac:dyDescent="0.2">
      <c r="I55" s="2"/>
      <c r="J55" s="2"/>
    </row>
    <row r="56" spans="2:10" x14ac:dyDescent="0.2">
      <c r="B56" s="129" t="s">
        <v>36</v>
      </c>
      <c r="C56" s="130"/>
      <c r="D56" s="131"/>
      <c r="E56" s="131"/>
      <c r="F56" s="131"/>
      <c r="G56" s="132"/>
      <c r="H56" s="133"/>
      <c r="I56" s="133"/>
      <c r="J56" s="134"/>
    </row>
    <row r="57" spans="2:10" ht="16" thickBot="1" x14ac:dyDescent="0.25">
      <c r="I57" s="2"/>
      <c r="J57" s="2"/>
    </row>
    <row r="58" spans="2:10" ht="17" thickTop="1" thickBot="1" x14ac:dyDescent="0.25">
      <c r="B58" t="s">
        <v>37</v>
      </c>
      <c r="H58" s="58"/>
      <c r="I58" s="2"/>
      <c r="J58" s="2"/>
    </row>
    <row r="59" spans="2:10" ht="17" thickTop="1" thickBot="1" x14ac:dyDescent="0.25">
      <c r="B59" t="s">
        <v>38</v>
      </c>
      <c r="H59" s="42"/>
      <c r="I59" s="2"/>
      <c r="J59" s="2"/>
    </row>
    <row r="60" spans="2:10" ht="16" thickTop="1" x14ac:dyDescent="0.2">
      <c r="I60" s="2"/>
      <c r="J60" s="2"/>
    </row>
    <row r="61" spans="2:10" x14ac:dyDescent="0.2">
      <c r="B61" s="127" t="s">
        <v>39</v>
      </c>
      <c r="C61" s="127"/>
      <c r="D61" s="127"/>
      <c r="E61" s="127"/>
      <c r="F61" s="127"/>
      <c r="G61" s="220"/>
      <c r="H61" s="221">
        <f>+H58+H59</f>
        <v>0</v>
      </c>
      <c r="I61" s="2"/>
      <c r="J61" s="2"/>
    </row>
    <row r="62" spans="2:10" x14ac:dyDescent="0.2">
      <c r="I62" s="2"/>
      <c r="J62" s="2"/>
    </row>
    <row r="63" spans="2:10" x14ac:dyDescent="0.2">
      <c r="I63" s="2"/>
      <c r="J63" s="2"/>
    </row>
    <row r="64" spans="2:10" x14ac:dyDescent="0.2">
      <c r="B64" s="216" t="s">
        <v>40</v>
      </c>
      <c r="C64" s="128" t="s">
        <v>41</v>
      </c>
      <c r="D64" s="128"/>
      <c r="E64" s="128"/>
      <c r="F64" s="128"/>
      <c r="G64" s="217"/>
      <c r="H64" s="218"/>
      <c r="I64" s="218"/>
      <c r="J64" s="219"/>
    </row>
    <row r="65" spans="2:13" x14ac:dyDescent="0.2">
      <c r="B65" s="9"/>
      <c r="G65" s="1"/>
      <c r="J65" s="21"/>
    </row>
    <row r="66" spans="2:13" x14ac:dyDescent="0.2">
      <c r="B66" s="26" t="s">
        <v>42</v>
      </c>
      <c r="I66" s="2"/>
      <c r="J66" s="22"/>
    </row>
    <row r="67" spans="2:13" x14ac:dyDescent="0.2">
      <c r="B67" s="9"/>
      <c r="H67" s="254"/>
      <c r="I67" s="255"/>
      <c r="J67" s="256"/>
    </row>
    <row r="68" spans="2:13" x14ac:dyDescent="0.2">
      <c r="B68" s="9"/>
      <c r="H68" s="25" t="s">
        <v>43</v>
      </c>
      <c r="I68" s="257" t="s">
        <v>44</v>
      </c>
      <c r="J68" s="258"/>
    </row>
    <row r="69" spans="2:13" x14ac:dyDescent="0.2">
      <c r="B69" s="9"/>
      <c r="H69" s="28" t="s">
        <v>45</v>
      </c>
      <c r="I69" s="30" t="s">
        <v>46</v>
      </c>
      <c r="J69" s="25" t="s">
        <v>47</v>
      </c>
    </row>
    <row r="70" spans="2:13" x14ac:dyDescent="0.2">
      <c r="B70" s="9"/>
      <c r="H70" s="29" t="s">
        <v>48</v>
      </c>
      <c r="I70" s="31" t="s">
        <v>5</v>
      </c>
      <c r="J70" s="31" t="s">
        <v>5</v>
      </c>
    </row>
    <row r="71" spans="2:13" ht="5" customHeight="1" x14ac:dyDescent="0.2">
      <c r="B71" s="9"/>
      <c r="H71" s="6"/>
      <c r="I71" s="6"/>
      <c r="J71" s="6"/>
    </row>
    <row r="72" spans="2:13" x14ac:dyDescent="0.2">
      <c r="B72" s="26" t="s">
        <v>49</v>
      </c>
      <c r="H72" s="4"/>
      <c r="I72" s="43">
        <f>Investeringen!G5</f>
        <v>3700</v>
      </c>
      <c r="J72" s="4"/>
    </row>
    <row r="73" spans="2:13" ht="5" customHeight="1" x14ac:dyDescent="0.2">
      <c r="B73" s="9"/>
      <c r="H73" s="4"/>
      <c r="I73" s="4"/>
      <c r="J73" s="4"/>
    </row>
    <row r="74" spans="2:13" x14ac:dyDescent="0.2">
      <c r="B74" s="9" t="s">
        <v>50</v>
      </c>
      <c r="H74" s="4"/>
      <c r="I74" s="43"/>
      <c r="J74" s="43"/>
      <c r="M74" s="2"/>
    </row>
    <row r="75" spans="2:13" ht="5" customHeight="1" x14ac:dyDescent="0.2">
      <c r="B75" s="9"/>
      <c r="H75" s="4"/>
      <c r="I75" s="4"/>
      <c r="J75" s="4"/>
      <c r="M75" s="2"/>
    </row>
    <row r="76" spans="2:13" x14ac:dyDescent="0.2">
      <c r="B76" s="9" t="s">
        <v>51</v>
      </c>
      <c r="H76" s="4"/>
      <c r="I76" s="4"/>
      <c r="J76" s="4"/>
    </row>
    <row r="77" spans="2:13" x14ac:dyDescent="0.2">
      <c r="B77" s="106" t="s">
        <v>22</v>
      </c>
      <c r="H77" s="4"/>
      <c r="I77" s="43"/>
      <c r="J77" s="43"/>
    </row>
    <row r="78" spans="2:13" x14ac:dyDescent="0.2">
      <c r="B78" s="106" t="s">
        <v>23</v>
      </c>
      <c r="H78" s="4"/>
      <c r="I78" s="43"/>
      <c r="J78" s="43"/>
    </row>
    <row r="79" spans="2:13" x14ac:dyDescent="0.2">
      <c r="B79" s="106" t="s">
        <v>24</v>
      </c>
      <c r="H79" s="4"/>
      <c r="I79" s="43"/>
      <c r="J79" s="43"/>
    </row>
    <row r="80" spans="2:13" x14ac:dyDescent="0.2">
      <c r="B80" s="106" t="s">
        <v>25</v>
      </c>
      <c r="H80" s="4"/>
      <c r="I80" s="43"/>
      <c r="J80" s="43"/>
    </row>
    <row r="81" spans="2:13" ht="5" customHeight="1" x14ac:dyDescent="0.2">
      <c r="B81" s="9"/>
      <c r="H81" s="4"/>
      <c r="I81" s="4"/>
      <c r="J81" s="4"/>
      <c r="M81" s="2"/>
    </row>
    <row r="82" spans="2:13" x14ac:dyDescent="0.2">
      <c r="B82" s="123" t="s">
        <v>52</v>
      </c>
      <c r="C82" s="124"/>
      <c r="D82" s="222"/>
      <c r="E82" s="222"/>
      <c r="F82" s="222"/>
      <c r="G82" s="223"/>
      <c r="H82" s="224">
        <f>SUM(H72:H80)</f>
        <v>0</v>
      </c>
      <c r="I82" s="224">
        <f>SUM(I72:I80)</f>
        <v>3700</v>
      </c>
      <c r="J82" s="224">
        <f>SUM(J72:J80)</f>
        <v>0</v>
      </c>
    </row>
    <row r="83" spans="2:13" x14ac:dyDescent="0.2">
      <c r="B83" s="5"/>
      <c r="C83" s="5"/>
      <c r="D83" s="5"/>
      <c r="E83" s="5"/>
      <c r="F83" s="5"/>
      <c r="G83" s="5"/>
      <c r="H83" s="5"/>
      <c r="I83" s="5"/>
      <c r="J83" s="5"/>
    </row>
    <row r="84" spans="2:13" x14ac:dyDescent="0.2">
      <c r="H84" s="2"/>
      <c r="I84" s="2"/>
      <c r="J84" s="2"/>
    </row>
    <row r="85" spans="2:13" x14ac:dyDescent="0.2">
      <c r="B85" s="216" t="s">
        <v>53</v>
      </c>
      <c r="C85" s="128" t="s">
        <v>54</v>
      </c>
      <c r="D85" s="128"/>
      <c r="E85" s="128"/>
      <c r="F85" s="128"/>
      <c r="G85" s="217"/>
      <c r="H85" s="218"/>
      <c r="I85" s="218"/>
      <c r="J85" s="219"/>
    </row>
    <row r="86" spans="2:13" x14ac:dyDescent="0.2">
      <c r="B86" s="9"/>
      <c r="H86" s="2"/>
      <c r="I86" s="2"/>
      <c r="J86" s="22"/>
    </row>
    <row r="87" spans="2:13" x14ac:dyDescent="0.2">
      <c r="B87" s="9"/>
      <c r="H87" s="125"/>
      <c r="I87" s="30" t="s">
        <v>46</v>
      </c>
      <c r="J87" s="25" t="s">
        <v>47</v>
      </c>
    </row>
    <row r="88" spans="2:13" x14ac:dyDescent="0.2">
      <c r="B88" s="9"/>
      <c r="H88" s="125"/>
      <c r="I88" s="31" t="s">
        <v>5</v>
      </c>
      <c r="J88" s="31" t="s">
        <v>5</v>
      </c>
    </row>
    <row r="89" spans="2:13" ht="5" customHeight="1" x14ac:dyDescent="0.2">
      <c r="B89" s="9"/>
      <c r="H89" s="22"/>
      <c r="I89" s="4"/>
      <c r="J89" s="4"/>
    </row>
    <row r="90" spans="2:13" x14ac:dyDescent="0.2">
      <c r="B90" s="26" t="s">
        <v>49</v>
      </c>
      <c r="H90" s="126"/>
      <c r="I90" s="43">
        <v>0</v>
      </c>
      <c r="J90" s="43"/>
    </row>
    <row r="91" spans="2:13" ht="5" customHeight="1" x14ac:dyDescent="0.2">
      <c r="B91" s="9"/>
      <c r="H91" s="22"/>
      <c r="I91" s="4"/>
      <c r="J91" s="4"/>
    </row>
    <row r="92" spans="2:13" x14ac:dyDescent="0.2">
      <c r="B92" s="9" t="s">
        <v>50</v>
      </c>
      <c r="H92" s="59"/>
      <c r="I92" s="43"/>
      <c r="J92" s="43"/>
    </row>
    <row r="93" spans="2:13" ht="5" customHeight="1" x14ac:dyDescent="0.2">
      <c r="B93" s="9"/>
      <c r="H93" s="22"/>
      <c r="I93" s="4"/>
      <c r="J93" s="4"/>
    </row>
    <row r="94" spans="2:13" x14ac:dyDescent="0.2">
      <c r="B94" s="9" t="s">
        <v>51</v>
      </c>
      <c r="H94" s="126"/>
      <c r="I94" s="7"/>
      <c r="J94" s="4"/>
    </row>
    <row r="95" spans="2:13" x14ac:dyDescent="0.2">
      <c r="B95" s="106" t="s">
        <v>22</v>
      </c>
      <c r="H95" s="126"/>
      <c r="I95" s="43"/>
      <c r="J95" s="43"/>
    </row>
    <row r="96" spans="2:13" x14ac:dyDescent="0.2">
      <c r="B96" s="106" t="s">
        <v>23</v>
      </c>
      <c r="H96" s="126"/>
      <c r="I96" s="43">
        <v>0</v>
      </c>
      <c r="J96" s="43">
        <v>0</v>
      </c>
    </row>
    <row r="97" spans="2:13" x14ac:dyDescent="0.2">
      <c r="B97" s="106" t="s">
        <v>24</v>
      </c>
      <c r="H97" s="126"/>
      <c r="I97" s="43">
        <f>+Inv_MeubRol_J1*0.2</f>
        <v>800</v>
      </c>
      <c r="J97" s="43">
        <f>+(Inv_MeubRol_J1+Inv_MeubRol_J2)*0.2</f>
        <v>800</v>
      </c>
    </row>
    <row r="98" spans="2:13" x14ac:dyDescent="0.2">
      <c r="B98" s="106" t="s">
        <v>25</v>
      </c>
      <c r="H98" s="126"/>
      <c r="I98" s="43"/>
      <c r="J98" s="43"/>
    </row>
    <row r="99" spans="2:13" ht="5" customHeight="1" x14ac:dyDescent="0.2">
      <c r="B99" s="9"/>
      <c r="H99" s="34"/>
      <c r="I99" s="4"/>
      <c r="J99" s="4"/>
      <c r="M99" s="2"/>
    </row>
    <row r="100" spans="2:13" x14ac:dyDescent="0.2">
      <c r="B100" s="123" t="s">
        <v>55</v>
      </c>
      <c r="C100" s="124"/>
      <c r="D100" s="222"/>
      <c r="E100" s="222"/>
      <c r="F100" s="222"/>
      <c r="G100" s="223"/>
      <c r="H100" s="223"/>
      <c r="I100" s="224">
        <f>SUM(I90:I98)</f>
        <v>800</v>
      </c>
      <c r="J100" s="224">
        <f>SUM(J90:J98)</f>
        <v>800</v>
      </c>
    </row>
    <row r="101" spans="2:13" x14ac:dyDescent="0.2">
      <c r="H101" s="2"/>
      <c r="I101" s="2"/>
      <c r="J101" s="2"/>
    </row>
    <row r="102" spans="2:13" x14ac:dyDescent="0.2">
      <c r="H102" s="2"/>
      <c r="I102" s="2"/>
      <c r="J102" s="2"/>
    </row>
    <row r="103" spans="2:13" x14ac:dyDescent="0.2">
      <c r="B103" s="216" t="s">
        <v>56</v>
      </c>
      <c r="C103" s="128" t="s">
        <v>57</v>
      </c>
      <c r="D103" s="128"/>
      <c r="E103" s="128"/>
      <c r="F103" s="128"/>
      <c r="G103" s="217"/>
      <c r="H103" s="218"/>
      <c r="I103" s="218"/>
      <c r="J103" s="219"/>
    </row>
    <row r="104" spans="2:13" x14ac:dyDescent="0.2">
      <c r="B104" s="9"/>
      <c r="H104" s="2"/>
      <c r="I104" s="2"/>
      <c r="J104" s="22"/>
    </row>
    <row r="105" spans="2:13" x14ac:dyDescent="0.2">
      <c r="B105" s="9"/>
      <c r="G105" s="259" t="s">
        <v>58</v>
      </c>
      <c r="H105" s="260"/>
      <c r="I105" s="261" t="s">
        <v>59</v>
      </c>
      <c r="J105" s="262"/>
    </row>
    <row r="106" spans="2:13" x14ac:dyDescent="0.2">
      <c r="B106" s="9"/>
      <c r="G106" s="33" t="s">
        <v>60</v>
      </c>
      <c r="H106" s="23" t="s">
        <v>61</v>
      </c>
      <c r="I106" s="102" t="s">
        <v>60</v>
      </c>
      <c r="J106" s="23" t="s">
        <v>61</v>
      </c>
    </row>
    <row r="107" spans="2:13" x14ac:dyDescent="0.2">
      <c r="B107" s="27" t="s">
        <v>62</v>
      </c>
      <c r="C107" s="117"/>
      <c r="D107" s="117"/>
      <c r="E107" s="117"/>
      <c r="F107" s="117"/>
      <c r="G107" s="101">
        <f>+Inbr_Lening_lang</f>
        <v>0</v>
      </c>
      <c r="H107" s="101">
        <f>Inbr_Lening_Kort</f>
        <v>0</v>
      </c>
      <c r="I107" s="101">
        <f>Fin_Bron_Lang</f>
        <v>0</v>
      </c>
      <c r="J107" s="101">
        <f>Fin_Bron_Kort</f>
        <v>0</v>
      </c>
    </row>
    <row r="108" spans="2:13" x14ac:dyDescent="0.2">
      <c r="B108" s="40" t="s">
        <v>63</v>
      </c>
      <c r="G108" s="43">
        <f>25000-Lening_Kort_Nieuw_J1</f>
        <v>25000</v>
      </c>
      <c r="H108" s="43">
        <v>4609.1899999999996</v>
      </c>
      <c r="I108" s="43"/>
      <c r="J108" s="43"/>
    </row>
    <row r="109" spans="2:13" x14ac:dyDescent="0.2">
      <c r="B109" s="40" t="s">
        <v>64</v>
      </c>
      <c r="G109" s="16"/>
      <c r="H109" s="43">
        <v>-4609.1899999999996</v>
      </c>
      <c r="I109" s="16"/>
      <c r="J109" s="43"/>
    </row>
    <row r="110" spans="2:13" x14ac:dyDescent="0.2">
      <c r="B110" s="40" t="s">
        <v>65</v>
      </c>
      <c r="G110" s="43">
        <v>-4796.63</v>
      </c>
      <c r="H110" s="16">
        <f>-G110</f>
        <v>4796.63</v>
      </c>
      <c r="I110" s="43"/>
      <c r="J110" s="16">
        <f>-I110</f>
        <v>0</v>
      </c>
    </row>
    <row r="111" spans="2:13" x14ac:dyDescent="0.2">
      <c r="B111" s="27" t="s">
        <v>66</v>
      </c>
      <c r="C111" s="117"/>
      <c r="D111" s="117"/>
      <c r="E111" s="117"/>
      <c r="F111" s="117"/>
      <c r="G111" s="24">
        <f>SUM(G107:G110)</f>
        <v>20203.37</v>
      </c>
      <c r="H111" s="24">
        <f t="shared" ref="H111:J111" si="0">SUM(H107:H110)</f>
        <v>4796.63</v>
      </c>
      <c r="I111" s="24">
        <f t="shared" si="0"/>
        <v>0</v>
      </c>
      <c r="J111" s="24">
        <f t="shared" si="0"/>
        <v>0</v>
      </c>
    </row>
    <row r="112" spans="2:13" x14ac:dyDescent="0.2">
      <c r="B112" s="40" t="s">
        <v>67</v>
      </c>
      <c r="G112" s="70"/>
      <c r="H112" s="70"/>
      <c r="I112" s="70"/>
      <c r="J112" s="70"/>
    </row>
    <row r="113" spans="2:10" x14ac:dyDescent="0.2">
      <c r="B113" s="40" t="s">
        <v>68</v>
      </c>
      <c r="G113" s="16"/>
      <c r="H113" s="43">
        <v>-4796.63</v>
      </c>
      <c r="I113" s="16"/>
      <c r="J113" s="43"/>
    </row>
    <row r="114" spans="2:10" x14ac:dyDescent="0.2">
      <c r="B114" s="40" t="s">
        <v>65</v>
      </c>
      <c r="G114" s="43">
        <v>-4992.05</v>
      </c>
      <c r="H114" s="16">
        <f>-G114</f>
        <v>4992.05</v>
      </c>
      <c r="I114" s="43"/>
      <c r="J114" s="55">
        <f>-I114</f>
        <v>0</v>
      </c>
    </row>
    <row r="115" spans="2:10" x14ac:dyDescent="0.2">
      <c r="B115" s="121" t="s">
        <v>69</v>
      </c>
      <c r="C115" s="122"/>
      <c r="D115" s="122"/>
      <c r="E115" s="122"/>
      <c r="F115" s="122"/>
      <c r="G115" s="24">
        <f>SUM(G111:G114)</f>
        <v>15211.32</v>
      </c>
      <c r="H115" s="24">
        <f t="shared" ref="H115:J115" si="1">SUM(H111:H114)</f>
        <v>4992.05</v>
      </c>
      <c r="I115" s="24">
        <f t="shared" si="1"/>
        <v>0</v>
      </c>
      <c r="J115" s="24">
        <f t="shared" si="1"/>
        <v>0</v>
      </c>
    </row>
    <row r="118" spans="2:10" x14ac:dyDescent="0.2">
      <c r="B118" s="216" t="s">
        <v>70</v>
      </c>
      <c r="C118" s="128" t="s">
        <v>71</v>
      </c>
      <c r="D118" s="128"/>
      <c r="E118" s="128"/>
      <c r="F118" s="128"/>
      <c r="G118" s="217"/>
      <c r="H118" s="218"/>
      <c r="I118" s="218"/>
      <c r="J118" s="219"/>
    </row>
    <row r="120" spans="2:10" x14ac:dyDescent="0.2">
      <c r="B120" s="263" t="s">
        <v>72</v>
      </c>
      <c r="C120" s="264"/>
      <c r="D120" s="264"/>
      <c r="E120" s="264"/>
      <c r="F120" s="264"/>
      <c r="G120" s="264"/>
      <c r="H120" s="265"/>
      <c r="I120" s="38" t="s">
        <v>73</v>
      </c>
      <c r="J120" s="32" t="s">
        <v>74</v>
      </c>
    </row>
    <row r="121" spans="2:10" x14ac:dyDescent="0.2">
      <c r="B121" s="266"/>
      <c r="C121" s="267"/>
      <c r="D121" s="267"/>
      <c r="E121" s="267"/>
      <c r="F121" s="267"/>
      <c r="G121" s="267"/>
      <c r="H121" s="268"/>
      <c r="I121" s="37" t="s">
        <v>5</v>
      </c>
      <c r="J121" s="37" t="s">
        <v>5</v>
      </c>
    </row>
    <row r="122" spans="2:10" ht="5" customHeight="1" x14ac:dyDescent="0.2">
      <c r="B122" s="9"/>
      <c r="H122" s="57"/>
      <c r="I122" s="67"/>
      <c r="J122" s="67"/>
    </row>
    <row r="123" spans="2:10" x14ac:dyDescent="0.2">
      <c r="B123" s="27" t="s">
        <v>75</v>
      </c>
      <c r="C123" s="117" t="s">
        <v>76</v>
      </c>
      <c r="D123" s="117"/>
      <c r="E123" s="117"/>
      <c r="F123" s="117"/>
      <c r="G123" s="118"/>
      <c r="H123" s="68"/>
      <c r="I123" s="103">
        <v>110000</v>
      </c>
      <c r="J123" s="103">
        <v>120000</v>
      </c>
    </row>
    <row r="124" spans="2:10" ht="5" customHeight="1" x14ac:dyDescent="0.2">
      <c r="B124" s="9"/>
      <c r="H124" s="57"/>
      <c r="I124" s="67"/>
      <c r="J124" s="67"/>
    </row>
    <row r="125" spans="2:10" x14ac:dyDescent="0.2">
      <c r="B125" s="27" t="s">
        <v>77</v>
      </c>
      <c r="C125" s="117" t="s">
        <v>78</v>
      </c>
      <c r="D125" s="117"/>
      <c r="E125" s="117"/>
      <c r="F125" s="117"/>
      <c r="G125" s="118"/>
      <c r="H125" s="68"/>
      <c r="I125" s="69">
        <f>SUM(I126:I128)</f>
        <v>0</v>
      </c>
      <c r="J125" s="69">
        <f>SUM(J126:J128)</f>
        <v>0</v>
      </c>
    </row>
    <row r="126" spans="2:10" x14ac:dyDescent="0.2">
      <c r="B126" s="9"/>
      <c r="C126" s="111" t="s">
        <v>79</v>
      </c>
      <c r="H126" s="66"/>
      <c r="I126" s="44"/>
      <c r="J126" s="44"/>
    </row>
    <row r="127" spans="2:10" x14ac:dyDescent="0.2">
      <c r="B127" s="9"/>
      <c r="C127" s="111" t="s">
        <v>80</v>
      </c>
      <c r="H127" s="57"/>
      <c r="I127" s="67">
        <f>-Inbr_Voorraad</f>
        <v>0</v>
      </c>
      <c r="J127" s="67">
        <f>-Eind_Voorraad_J1</f>
        <v>0</v>
      </c>
    </row>
    <row r="128" spans="2:10" x14ac:dyDescent="0.2">
      <c r="B128" s="9"/>
      <c r="C128" s="111" t="s">
        <v>81</v>
      </c>
      <c r="H128" s="57"/>
      <c r="I128" s="56"/>
      <c r="J128" s="56"/>
    </row>
    <row r="129" spans="2:14" x14ac:dyDescent="0.2">
      <c r="B129" s="9"/>
      <c r="H129" s="57"/>
      <c r="I129" s="67"/>
      <c r="J129" s="67"/>
    </row>
    <row r="130" spans="2:14" x14ac:dyDescent="0.2">
      <c r="B130" s="225" t="s">
        <v>82</v>
      </c>
      <c r="C130" s="226"/>
      <c r="D130" s="226"/>
      <c r="E130" s="226"/>
      <c r="F130" s="226"/>
      <c r="G130" s="227"/>
      <c r="H130" s="228"/>
      <c r="I130" s="229">
        <f>+I123+I125</f>
        <v>110000</v>
      </c>
      <c r="J130" s="229">
        <f>+J123+J125</f>
        <v>120000</v>
      </c>
    </row>
    <row r="131" spans="2:14" x14ac:dyDescent="0.2">
      <c r="B131" s="9"/>
      <c r="H131" s="22"/>
      <c r="I131" s="4"/>
      <c r="J131" s="4"/>
    </row>
    <row r="132" spans="2:14" x14ac:dyDescent="0.2">
      <c r="B132" s="9" t="s">
        <v>83</v>
      </c>
      <c r="C132" t="s">
        <v>84</v>
      </c>
      <c r="H132" s="22"/>
      <c r="I132" s="45">
        <f>+I133+I134</f>
        <v>0</v>
      </c>
      <c r="J132" s="45">
        <f>+J133+J134</f>
        <v>0</v>
      </c>
    </row>
    <row r="133" spans="2:14" x14ac:dyDescent="0.2">
      <c r="B133" s="9"/>
      <c r="C133" s="111" t="s">
        <v>85</v>
      </c>
      <c r="H133" s="22"/>
      <c r="I133" s="56"/>
      <c r="J133" s="56"/>
    </row>
    <row r="134" spans="2:14" x14ac:dyDescent="0.2">
      <c r="B134" s="9"/>
      <c r="C134" s="111" t="s">
        <v>86</v>
      </c>
      <c r="H134" s="22"/>
      <c r="I134" s="56"/>
      <c r="J134" s="56"/>
    </row>
    <row r="135" spans="2:14" x14ac:dyDescent="0.2">
      <c r="B135" s="9"/>
      <c r="H135" s="22"/>
      <c r="I135" s="4"/>
      <c r="J135" s="4"/>
    </row>
    <row r="136" spans="2:14" x14ac:dyDescent="0.2">
      <c r="B136" s="9" t="s">
        <v>87</v>
      </c>
      <c r="C136" s="1" t="s">
        <v>88</v>
      </c>
      <c r="H136" s="230"/>
      <c r="I136" s="54">
        <f>SUM(I137:I147)</f>
        <v>-94900</v>
      </c>
      <c r="J136" s="54">
        <f>SUM(J137:J147)</f>
        <v>-95400</v>
      </c>
    </row>
    <row r="137" spans="2:14" ht="16" thickBot="1" x14ac:dyDescent="0.25">
      <c r="B137" s="9"/>
      <c r="C137" s="80" t="s">
        <v>89</v>
      </c>
      <c r="D137" s="71"/>
      <c r="E137" s="72"/>
      <c r="F137" s="72"/>
      <c r="G137" s="73"/>
      <c r="H137" s="35"/>
      <c r="I137" s="56">
        <v>-2500</v>
      </c>
      <c r="J137" s="56">
        <v>-2500</v>
      </c>
      <c r="L137" s="2"/>
      <c r="M137" s="2"/>
      <c r="N137" s="2"/>
    </row>
    <row r="138" spans="2:14" ht="16" thickBot="1" x14ac:dyDescent="0.25">
      <c r="B138" s="9"/>
      <c r="C138" s="81" t="s">
        <v>90</v>
      </c>
      <c r="D138" s="74"/>
      <c r="E138" s="75"/>
      <c r="F138" s="75"/>
      <c r="G138" s="76"/>
      <c r="H138" s="35"/>
      <c r="I138" s="56">
        <v>-4000</v>
      </c>
      <c r="J138" s="56">
        <v>-4000</v>
      </c>
    </row>
    <row r="139" spans="2:14" ht="16" thickBot="1" x14ac:dyDescent="0.25">
      <c r="B139" s="9"/>
      <c r="C139" s="81" t="s">
        <v>91</v>
      </c>
      <c r="D139" s="74"/>
      <c r="E139" s="75"/>
      <c r="F139" s="75"/>
      <c r="G139" s="76"/>
      <c r="H139" s="35"/>
      <c r="I139" s="56">
        <v>-500</v>
      </c>
      <c r="J139" s="56">
        <v>-1000</v>
      </c>
    </row>
    <row r="140" spans="2:14" ht="16" thickBot="1" x14ac:dyDescent="0.25">
      <c r="B140" s="9"/>
      <c r="C140" s="81" t="s">
        <v>92</v>
      </c>
      <c r="D140" s="74"/>
      <c r="E140" s="75"/>
      <c r="F140" s="75"/>
      <c r="G140" s="76"/>
      <c r="H140" s="35"/>
      <c r="I140" s="56">
        <v>-2400</v>
      </c>
      <c r="J140" s="56">
        <v>-2400</v>
      </c>
    </row>
    <row r="141" spans="2:14" ht="16" thickBot="1" x14ac:dyDescent="0.25">
      <c r="B141" s="9"/>
      <c r="C141" s="81" t="s">
        <v>93</v>
      </c>
      <c r="D141" s="74"/>
      <c r="E141" s="75"/>
      <c r="F141" s="75"/>
      <c r="G141" s="76"/>
      <c r="H141" s="35"/>
      <c r="I141" s="56">
        <v>-4500</v>
      </c>
      <c r="J141" s="56">
        <v>-4500</v>
      </c>
    </row>
    <row r="142" spans="2:14" ht="16" thickBot="1" x14ac:dyDescent="0.25">
      <c r="B142" s="9"/>
      <c r="C142" s="81" t="s">
        <v>94</v>
      </c>
      <c r="D142" s="74"/>
      <c r="E142" s="75"/>
      <c r="F142" s="75"/>
      <c r="G142" s="76"/>
      <c r="H142" s="35"/>
      <c r="I142" s="56">
        <v>-1500</v>
      </c>
      <c r="J142" s="56">
        <v>-1500</v>
      </c>
    </row>
    <row r="143" spans="2:14" ht="16" thickBot="1" x14ac:dyDescent="0.25">
      <c r="B143" s="9"/>
      <c r="C143" s="81" t="s">
        <v>95</v>
      </c>
      <c r="D143" s="74"/>
      <c r="E143" s="75"/>
      <c r="F143" s="75"/>
      <c r="G143" s="76"/>
      <c r="H143" s="35"/>
      <c r="I143" s="56">
        <v>-1250</v>
      </c>
      <c r="J143" s="56">
        <v>-1250</v>
      </c>
    </row>
    <row r="144" spans="2:14" ht="16" thickBot="1" x14ac:dyDescent="0.25">
      <c r="B144" s="9"/>
      <c r="C144" s="81" t="s">
        <v>96</v>
      </c>
      <c r="D144" s="74"/>
      <c r="E144" s="75"/>
      <c r="F144" s="75"/>
      <c r="G144" s="76"/>
      <c r="H144" s="35"/>
      <c r="I144" s="56">
        <v>-250</v>
      </c>
      <c r="J144" s="56">
        <v>-250</v>
      </c>
    </row>
    <row r="145" spans="2:10" ht="16" thickBot="1" x14ac:dyDescent="0.25">
      <c r="B145" s="9"/>
      <c r="C145" s="81" t="s">
        <v>97</v>
      </c>
      <c r="D145" s="74"/>
      <c r="E145" s="75"/>
      <c r="F145" s="75"/>
      <c r="G145" s="76"/>
      <c r="H145" s="35"/>
      <c r="I145" s="56"/>
      <c r="J145" s="56"/>
    </row>
    <row r="146" spans="2:10" x14ac:dyDescent="0.2">
      <c r="B146" s="9"/>
      <c r="C146" s="82" t="s">
        <v>98</v>
      </c>
      <c r="D146" s="77"/>
      <c r="E146" s="78"/>
      <c r="F146" s="78"/>
      <c r="G146" s="79"/>
      <c r="H146" s="35"/>
      <c r="I146" s="56"/>
      <c r="J146" s="56"/>
    </row>
    <row r="147" spans="2:10" x14ac:dyDescent="0.2">
      <c r="B147" s="9"/>
      <c r="C147" s="111" t="s">
        <v>99</v>
      </c>
      <c r="E147" s="119"/>
      <c r="F147" s="119"/>
      <c r="G147" s="120"/>
      <c r="H147" s="35"/>
      <c r="I147" s="56">
        <v>-78000</v>
      </c>
      <c r="J147" s="56">
        <v>-78000</v>
      </c>
    </row>
    <row r="148" spans="2:10" x14ac:dyDescent="0.2">
      <c r="B148" s="9"/>
      <c r="D148" s="119"/>
      <c r="E148" s="119"/>
      <c r="F148" s="119"/>
      <c r="G148" s="120"/>
      <c r="H148" s="35"/>
      <c r="I148" s="10"/>
      <c r="J148" s="10"/>
    </row>
    <row r="149" spans="2:10" x14ac:dyDescent="0.2">
      <c r="B149" s="9" t="s">
        <v>100</v>
      </c>
      <c r="C149" s="1" t="s">
        <v>101</v>
      </c>
      <c r="H149" s="230"/>
      <c r="I149" s="103"/>
      <c r="J149" s="103"/>
    </row>
    <row r="150" spans="2:10" x14ac:dyDescent="0.2">
      <c r="B150" s="9"/>
      <c r="H150" s="22"/>
      <c r="I150" s="4"/>
      <c r="J150" s="4"/>
    </row>
    <row r="151" spans="2:10" x14ac:dyDescent="0.2">
      <c r="B151" s="9" t="s">
        <v>102</v>
      </c>
      <c r="C151" s="1" t="s">
        <v>103</v>
      </c>
      <c r="H151" s="230"/>
      <c r="I151" s="54">
        <f>-Afs_Tot_J1</f>
        <v>-4500</v>
      </c>
      <c r="J151" s="54">
        <f>-Afs_Tot_J2</f>
        <v>-1600</v>
      </c>
    </row>
    <row r="152" spans="2:10" x14ac:dyDescent="0.2">
      <c r="B152" s="9"/>
      <c r="H152" s="22"/>
      <c r="I152" s="4"/>
      <c r="J152" s="4"/>
    </row>
    <row r="153" spans="2:10" x14ac:dyDescent="0.2">
      <c r="B153" s="9" t="s">
        <v>104</v>
      </c>
      <c r="C153" s="1" t="s">
        <v>105</v>
      </c>
      <c r="H153" s="230"/>
      <c r="I153" s="54">
        <f>+I154+I155</f>
        <v>-500</v>
      </c>
      <c r="J153" s="54">
        <f>+J154+J155</f>
        <v>-500</v>
      </c>
    </row>
    <row r="154" spans="2:10" x14ac:dyDescent="0.2">
      <c r="B154" s="9"/>
      <c r="C154" s="111" t="s">
        <v>106</v>
      </c>
      <c r="H154" s="35"/>
      <c r="I154" s="56">
        <v>-500</v>
      </c>
      <c r="J154" s="56">
        <v>-500</v>
      </c>
    </row>
    <row r="155" spans="2:10" x14ac:dyDescent="0.2">
      <c r="B155" s="9"/>
      <c r="C155" s="111" t="s">
        <v>107</v>
      </c>
      <c r="H155" s="35"/>
      <c r="I155" s="56"/>
      <c r="J155" s="56"/>
    </row>
    <row r="156" spans="2:10" x14ac:dyDescent="0.2">
      <c r="B156" s="9"/>
      <c r="H156" s="22"/>
      <c r="I156" s="4"/>
      <c r="J156" s="4"/>
    </row>
    <row r="157" spans="2:10" s="11" customFormat="1" x14ac:dyDescent="0.2">
      <c r="B157" s="225" t="s">
        <v>108</v>
      </c>
      <c r="C157" s="226"/>
      <c r="D157" s="226"/>
      <c r="E157" s="226"/>
      <c r="F157" s="226"/>
      <c r="G157" s="227"/>
      <c r="H157" s="231"/>
      <c r="I157" s="232">
        <f>+I153+I132+I151+I149+I136+I130</f>
        <v>10100</v>
      </c>
      <c r="J157" s="232">
        <f>+J153+J132+J151+J149+J136+J130</f>
        <v>22500</v>
      </c>
    </row>
    <row r="158" spans="2:10" x14ac:dyDescent="0.2">
      <c r="B158" s="9"/>
      <c r="H158" s="22"/>
      <c r="I158" s="4"/>
      <c r="J158" s="4"/>
    </row>
    <row r="159" spans="2:10" x14ac:dyDescent="0.2">
      <c r="B159" s="225" t="s">
        <v>109</v>
      </c>
      <c r="C159" s="226"/>
      <c r="D159" s="226"/>
      <c r="E159" s="226"/>
      <c r="F159" s="226"/>
      <c r="G159" s="227"/>
      <c r="H159" s="231"/>
      <c r="I159" s="232">
        <f>+I157-I151</f>
        <v>14600</v>
      </c>
      <c r="J159" s="232">
        <f>+J157-J151</f>
        <v>24100</v>
      </c>
    </row>
    <row r="160" spans="2:10" x14ac:dyDescent="0.2">
      <c r="B160" s="9"/>
      <c r="H160" s="22"/>
      <c r="I160" s="4"/>
      <c r="J160" s="4"/>
    </row>
    <row r="161" spans="2:10" x14ac:dyDescent="0.2">
      <c r="B161" s="26" t="s">
        <v>110</v>
      </c>
      <c r="H161" s="36"/>
      <c r="I161" s="60">
        <f>IF(I123=0,"-",I159/I123)</f>
        <v>0.13272727272727272</v>
      </c>
      <c r="J161" s="60">
        <f>IF(J123=0,"-",J159/J123)</f>
        <v>0.20083333333333334</v>
      </c>
    </row>
    <row r="162" spans="2:10" x14ac:dyDescent="0.2">
      <c r="B162" s="12"/>
      <c r="C162" s="13"/>
      <c r="D162" s="13"/>
      <c r="E162" s="13"/>
      <c r="F162" s="13"/>
      <c r="G162" s="14"/>
      <c r="H162" s="34"/>
      <c r="I162" s="8"/>
      <c r="J162" s="8"/>
    </row>
    <row r="163" spans="2:10" x14ac:dyDescent="0.2">
      <c r="H163" s="2"/>
      <c r="I163" s="2"/>
      <c r="J163" s="2"/>
    </row>
    <row r="164" spans="2:10" x14ac:dyDescent="0.2">
      <c r="B164" s="263" t="s">
        <v>111</v>
      </c>
      <c r="C164" s="264"/>
      <c r="D164" s="264"/>
      <c r="E164" s="264"/>
      <c r="F164" s="264"/>
      <c r="G164" s="264"/>
      <c r="H164" s="265"/>
      <c r="I164" s="38" t="s">
        <v>73</v>
      </c>
      <c r="J164" s="32" t="s">
        <v>74</v>
      </c>
    </row>
    <row r="165" spans="2:10" x14ac:dyDescent="0.2">
      <c r="B165" s="266"/>
      <c r="C165" s="267"/>
      <c r="D165" s="267"/>
      <c r="E165" s="267"/>
      <c r="F165" s="267"/>
      <c r="G165" s="267"/>
      <c r="H165" s="268"/>
      <c r="I165" s="37" t="s">
        <v>5</v>
      </c>
      <c r="J165" s="37" t="s">
        <v>5</v>
      </c>
    </row>
    <row r="166" spans="2:10" x14ac:dyDescent="0.2">
      <c r="B166" s="9"/>
      <c r="H166" s="22"/>
      <c r="I166" s="4"/>
      <c r="J166" s="4"/>
    </row>
    <row r="167" spans="2:10" x14ac:dyDescent="0.2">
      <c r="B167" s="9" t="s">
        <v>75</v>
      </c>
      <c r="C167" s="117" t="s">
        <v>112</v>
      </c>
      <c r="D167" s="117"/>
      <c r="E167" s="117"/>
      <c r="F167" s="117"/>
      <c r="G167" s="118"/>
      <c r="H167" s="46"/>
      <c r="I167" s="39">
        <f>+I168+I169</f>
        <v>0</v>
      </c>
      <c r="J167" s="39">
        <f>+J168+J169</f>
        <v>0</v>
      </c>
    </row>
    <row r="168" spans="2:10" x14ac:dyDescent="0.2">
      <c r="B168" s="9"/>
      <c r="C168" s="111" t="s">
        <v>113</v>
      </c>
      <c r="H168" s="22"/>
      <c r="I168" s="56"/>
      <c r="J168" s="56"/>
    </row>
    <row r="169" spans="2:10" x14ac:dyDescent="0.2">
      <c r="B169" s="9"/>
      <c r="C169" s="111" t="s">
        <v>114</v>
      </c>
      <c r="H169" s="22"/>
      <c r="I169" s="56"/>
      <c r="J169" s="56"/>
    </row>
    <row r="170" spans="2:10" x14ac:dyDescent="0.2">
      <c r="B170" s="9" t="s">
        <v>77</v>
      </c>
      <c r="C170" s="117" t="s">
        <v>115</v>
      </c>
      <c r="D170" s="117"/>
      <c r="E170" s="117"/>
      <c r="F170" s="117"/>
      <c r="G170" s="118"/>
      <c r="H170" s="47"/>
      <c r="I170" s="39">
        <f>+I171+I172</f>
        <v>-915.77</v>
      </c>
      <c r="J170" s="39">
        <f>+J171+J172</f>
        <v>-728.33</v>
      </c>
    </row>
    <row r="171" spans="2:10" x14ac:dyDescent="0.2">
      <c r="B171" s="9"/>
      <c r="C171" s="111" t="s">
        <v>116</v>
      </c>
      <c r="H171" s="35"/>
      <c r="I171" s="56">
        <v>-915.77</v>
      </c>
      <c r="J171" s="56">
        <v>-728.33</v>
      </c>
    </row>
    <row r="172" spans="2:10" x14ac:dyDescent="0.2">
      <c r="B172" s="9"/>
      <c r="C172" s="111" t="s">
        <v>117</v>
      </c>
      <c r="H172" s="35"/>
      <c r="I172" s="56"/>
      <c r="J172" s="56"/>
    </row>
    <row r="173" spans="2:10" x14ac:dyDescent="0.2">
      <c r="B173" s="9"/>
      <c r="H173" s="21"/>
      <c r="I173" s="7"/>
      <c r="J173" s="7"/>
    </row>
    <row r="174" spans="2:10" x14ac:dyDescent="0.2">
      <c r="B174" s="225" t="s">
        <v>118</v>
      </c>
      <c r="C174" s="226"/>
      <c r="D174" s="226"/>
      <c r="E174" s="226"/>
      <c r="F174" s="226"/>
      <c r="G174" s="227"/>
      <c r="H174" s="231"/>
      <c r="I174" s="232">
        <f>+I170+I157+I167</f>
        <v>9184.23</v>
      </c>
      <c r="J174" s="232">
        <f>+J170+J157+J167</f>
        <v>21771.67</v>
      </c>
    </row>
    <row r="176" spans="2:10" x14ac:dyDescent="0.2">
      <c r="B176" s="263" t="s">
        <v>119</v>
      </c>
      <c r="C176" s="264"/>
      <c r="D176" s="264"/>
      <c r="E176" s="264"/>
      <c r="F176" s="264"/>
      <c r="G176" s="264"/>
      <c r="H176" s="265" t="str">
        <f>+H70</f>
        <v>aanvang</v>
      </c>
      <c r="I176" s="38" t="s">
        <v>73</v>
      </c>
      <c r="J176" s="32" t="s">
        <v>74</v>
      </c>
    </row>
    <row r="177" spans="2:12" x14ac:dyDescent="0.2">
      <c r="B177" s="266"/>
      <c r="C177" s="267"/>
      <c r="D177" s="267"/>
      <c r="E177" s="267"/>
      <c r="F177" s="267"/>
      <c r="G177" s="267"/>
      <c r="H177" s="268"/>
      <c r="I177" s="37" t="s">
        <v>5</v>
      </c>
      <c r="J177" s="37" t="s">
        <v>5</v>
      </c>
    </row>
    <row r="178" spans="2:12" x14ac:dyDescent="0.2">
      <c r="B178" s="9"/>
      <c r="H178" s="22"/>
      <c r="I178" s="4"/>
      <c r="J178" s="4"/>
    </row>
    <row r="179" spans="2:12" x14ac:dyDescent="0.2">
      <c r="B179" s="9" t="s">
        <v>120</v>
      </c>
      <c r="H179" s="35"/>
      <c r="I179" s="56">
        <v>-2400</v>
      </c>
      <c r="J179" s="56">
        <v>-5900</v>
      </c>
    </row>
    <row r="180" spans="2:12" x14ac:dyDescent="0.2">
      <c r="B180" s="9"/>
      <c r="H180" s="21"/>
      <c r="I180" s="7"/>
      <c r="J180" s="7"/>
    </row>
    <row r="181" spans="2:12" x14ac:dyDescent="0.2">
      <c r="B181" s="225" t="s">
        <v>121</v>
      </c>
      <c r="C181" s="226"/>
      <c r="D181" s="226"/>
      <c r="E181" s="226"/>
      <c r="F181" s="226"/>
      <c r="G181" s="227"/>
      <c r="H181" s="231"/>
      <c r="I181" s="232">
        <f>+I174+I179</f>
        <v>6784.23</v>
      </c>
      <c r="J181" s="232">
        <f>+J174+J179</f>
        <v>15871.669999999998</v>
      </c>
    </row>
    <row r="184" spans="2:12" x14ac:dyDescent="0.2">
      <c r="B184" s="216" t="s">
        <v>122</v>
      </c>
      <c r="C184" s="128" t="s">
        <v>123</v>
      </c>
      <c r="D184" s="128"/>
      <c r="E184" s="128"/>
      <c r="F184" s="128"/>
      <c r="G184" s="217"/>
      <c r="H184" s="218"/>
      <c r="I184" s="218"/>
      <c r="J184" s="219"/>
    </row>
    <row r="186" spans="2:12" x14ac:dyDescent="0.2">
      <c r="B186" s="263" t="s">
        <v>124</v>
      </c>
      <c r="C186" s="264"/>
      <c r="D186" s="264"/>
      <c r="E186" s="264"/>
      <c r="F186" s="264"/>
      <c r="G186" s="264"/>
      <c r="H186" s="269" t="s">
        <v>48</v>
      </c>
      <c r="I186" s="32" t="s">
        <v>2</v>
      </c>
      <c r="J186" s="32" t="s">
        <v>3</v>
      </c>
    </row>
    <row r="187" spans="2:12" x14ac:dyDescent="0.2">
      <c r="B187" s="266"/>
      <c r="C187" s="267"/>
      <c r="D187" s="267"/>
      <c r="E187" s="267"/>
      <c r="F187" s="267"/>
      <c r="G187" s="267"/>
      <c r="H187" s="270"/>
      <c r="I187" s="37" t="s">
        <v>5</v>
      </c>
      <c r="J187" s="37" t="str">
        <f>+J70</f>
        <v>maanden</v>
      </c>
    </row>
    <row r="188" spans="2:12" x14ac:dyDescent="0.2">
      <c r="B188" s="9"/>
      <c r="H188" s="7"/>
      <c r="I188" s="7"/>
      <c r="J188" s="7"/>
    </row>
    <row r="189" spans="2:12" x14ac:dyDescent="0.2">
      <c r="B189" s="27" t="s">
        <v>125</v>
      </c>
      <c r="G189" s="113">
        <v>20</v>
      </c>
      <c r="H189" s="54">
        <f>SUM(H191:H192)</f>
        <v>0</v>
      </c>
      <c r="I189" s="54">
        <f t="shared" ref="I189:J189" si="2">SUM(I191:I192)</f>
        <v>0</v>
      </c>
      <c r="J189" s="54">
        <f t="shared" si="2"/>
        <v>0</v>
      </c>
    </row>
    <row r="190" spans="2:12" ht="5" customHeight="1" x14ac:dyDescent="0.2">
      <c r="B190" s="106"/>
      <c r="H190" s="16"/>
      <c r="I190" s="16"/>
      <c r="J190" s="16"/>
    </row>
    <row r="191" spans="2:12" x14ac:dyDescent="0.2">
      <c r="B191" s="106" t="s">
        <v>126</v>
      </c>
      <c r="H191" s="16">
        <v>0</v>
      </c>
      <c r="I191" s="16">
        <f>+Inv_OK_J1</f>
        <v>3700</v>
      </c>
      <c r="J191" s="16">
        <f>+Inv_OK_J1</f>
        <v>3700</v>
      </c>
    </row>
    <row r="192" spans="2:12" x14ac:dyDescent="0.2">
      <c r="B192" s="106" t="s">
        <v>127</v>
      </c>
      <c r="H192" s="16">
        <v>0</v>
      </c>
      <c r="I192" s="16">
        <f>-Afs_OK_J1</f>
        <v>-3700</v>
      </c>
      <c r="J192" s="16">
        <f>-Afs_OK_J1-Afs_OK_J2</f>
        <v>-3700</v>
      </c>
      <c r="L192" s="2"/>
    </row>
    <row r="193" spans="2:10" x14ac:dyDescent="0.2">
      <c r="B193" s="9"/>
      <c r="H193" s="7"/>
      <c r="I193" s="7"/>
      <c r="J193" s="7"/>
    </row>
    <row r="194" spans="2:10" x14ac:dyDescent="0.2">
      <c r="B194" s="27" t="s">
        <v>128</v>
      </c>
      <c r="C194" s="117"/>
      <c r="D194" s="117"/>
      <c r="E194" s="117"/>
      <c r="F194" s="117"/>
      <c r="G194" s="114" t="s">
        <v>129</v>
      </c>
      <c r="H194" s="54">
        <f>SUM(H196:H211)</f>
        <v>0</v>
      </c>
      <c r="I194" s="54">
        <f t="shared" ref="I194:J194" si="3">SUM(I196:I211)</f>
        <v>47450</v>
      </c>
      <c r="J194" s="54">
        <f t="shared" si="3"/>
        <v>45850</v>
      </c>
    </row>
    <row r="195" spans="2:10" ht="5" customHeight="1" x14ac:dyDescent="0.2">
      <c r="B195" s="106"/>
      <c r="H195" s="16"/>
      <c r="I195" s="16"/>
      <c r="J195" s="16"/>
    </row>
    <row r="196" spans="2:10" x14ac:dyDescent="0.2">
      <c r="B196" s="106" t="s">
        <v>130</v>
      </c>
      <c r="G196" s="245">
        <v>21</v>
      </c>
      <c r="H196" s="16">
        <f>+Inbr_IVA</f>
        <v>0</v>
      </c>
      <c r="I196" s="16">
        <f>+Inbr_IVA+Inv_IVA_J1</f>
        <v>40250</v>
      </c>
      <c r="J196" s="16">
        <f>+Inbr_IVA+Inv_IVA_J1+Inv_IVA_J2</f>
        <v>40250</v>
      </c>
    </row>
    <row r="197" spans="2:10" x14ac:dyDescent="0.2">
      <c r="B197" s="106" t="s">
        <v>131</v>
      </c>
      <c r="G197" s="245"/>
      <c r="H197" s="16">
        <v>0</v>
      </c>
      <c r="I197" s="16">
        <f>-Afs_IVA_J1</f>
        <v>0</v>
      </c>
      <c r="J197" s="16">
        <f>-Afs_IVA_J1-Afs_IVA_J2</f>
        <v>0</v>
      </c>
    </row>
    <row r="198" spans="2:10" ht="5" customHeight="1" x14ac:dyDescent="0.2">
      <c r="B198" s="106"/>
      <c r="H198" s="16"/>
      <c r="I198" s="16"/>
      <c r="J198" s="16"/>
    </row>
    <row r="199" spans="2:10" x14ac:dyDescent="0.2">
      <c r="B199" s="106" t="s">
        <v>21</v>
      </c>
      <c r="H199" s="16"/>
      <c r="I199" s="16"/>
      <c r="J199" s="16"/>
    </row>
    <row r="200" spans="2:10" x14ac:dyDescent="0.2">
      <c r="B200" s="107" t="s">
        <v>132</v>
      </c>
      <c r="G200" s="245">
        <v>22</v>
      </c>
      <c r="H200" s="16">
        <f>+Inbr_TerGeb</f>
        <v>0</v>
      </c>
      <c r="I200" s="16">
        <f>+Inbr_TerGeb+Inv_TerGeb_J1</f>
        <v>0</v>
      </c>
      <c r="J200" s="16">
        <f>+Inbr_TerGeb+Inv_TerGeb_J1+Inv_TerGeb_J2</f>
        <v>0</v>
      </c>
    </row>
    <row r="201" spans="2:10" x14ac:dyDescent="0.2">
      <c r="B201" s="107" t="s">
        <v>133</v>
      </c>
      <c r="G201" s="245"/>
      <c r="H201" s="16">
        <v>0</v>
      </c>
      <c r="I201" s="16">
        <f>-Afs_TerGeb_J1</f>
        <v>0</v>
      </c>
      <c r="J201" s="16">
        <f>-Afs_TerGeb_J1-Afs_TerGeb_J2</f>
        <v>0</v>
      </c>
    </row>
    <row r="202" spans="2:10" x14ac:dyDescent="0.2">
      <c r="B202" s="107" t="s">
        <v>134</v>
      </c>
      <c r="G202" s="245">
        <v>23</v>
      </c>
      <c r="H202" s="16">
        <f>+Inbr_InstalMachUitr</f>
        <v>0</v>
      </c>
      <c r="I202" s="16">
        <f>+Inbr_InstalMachUitr+Inv_IstalMachUitr_J1</f>
        <v>4000</v>
      </c>
      <c r="J202" s="16">
        <f>+Inbr_InstalMachUitr+Inv_IstalMachUitr_J1+Inv_IstalMachUitr_J2</f>
        <v>4000</v>
      </c>
    </row>
    <row r="203" spans="2:10" x14ac:dyDescent="0.2">
      <c r="B203" s="107" t="s">
        <v>135</v>
      </c>
      <c r="G203" s="245"/>
      <c r="H203" s="16">
        <v>0</v>
      </c>
      <c r="I203" s="16">
        <f>-Afs_InstalMachUitr_J1</f>
        <v>0</v>
      </c>
      <c r="J203" s="16">
        <f>-Afs_InstalMachUitr_J1-Afs_InstaMachUitr_J2</f>
        <v>-800</v>
      </c>
    </row>
    <row r="204" spans="2:10" x14ac:dyDescent="0.2">
      <c r="B204" s="107" t="s">
        <v>136</v>
      </c>
      <c r="G204" s="245">
        <v>24</v>
      </c>
      <c r="H204" s="16">
        <f>+Inbr_MeubRol</f>
        <v>0</v>
      </c>
      <c r="I204" s="16">
        <f>+Inbr_MeubRol+Inv_MeubRol_J1</f>
        <v>4000</v>
      </c>
      <c r="J204" s="16">
        <f>+Inbr_MeubRol+Inv_MeubRol_J1+Inv_MeubRol_J2</f>
        <v>4000</v>
      </c>
    </row>
    <row r="205" spans="2:10" x14ac:dyDescent="0.2">
      <c r="B205" s="107" t="s">
        <v>137</v>
      </c>
      <c r="G205" s="245"/>
      <c r="H205" s="16">
        <v>0</v>
      </c>
      <c r="I205" s="16">
        <f>-Afs_MeubRol_J1</f>
        <v>-800</v>
      </c>
      <c r="J205" s="16">
        <f>-Afs_MeubRol_J1-Afs_MeubRol_J2</f>
        <v>-1600</v>
      </c>
    </row>
    <row r="206" spans="2:10" x14ac:dyDescent="0.2">
      <c r="B206" s="107" t="s">
        <v>138</v>
      </c>
      <c r="G206" s="245">
        <v>25</v>
      </c>
      <c r="H206" s="16">
        <f>+Inbr_Leasing</f>
        <v>0</v>
      </c>
      <c r="I206" s="16">
        <f>++Inbr_Leasing+Inv_Leasing_J1</f>
        <v>0</v>
      </c>
      <c r="J206" s="16">
        <f>+Inbr_Leasing+Inv_Leasing_J1+Inv_Leasing_J2</f>
        <v>0</v>
      </c>
    </row>
    <row r="207" spans="2:10" x14ac:dyDescent="0.2">
      <c r="B207" s="107" t="s">
        <v>139</v>
      </c>
      <c r="G207" s="245"/>
      <c r="H207" s="16">
        <v>0</v>
      </c>
      <c r="I207" s="16">
        <f>-Afs_Leasing_J1</f>
        <v>0</v>
      </c>
      <c r="J207" s="16">
        <f>-Afs_Leasing_J1-Afs_Leasing_J2</f>
        <v>0</v>
      </c>
    </row>
    <row r="208" spans="2:10" x14ac:dyDescent="0.2">
      <c r="B208" s="112" t="s">
        <v>140</v>
      </c>
      <c r="G208" s="115">
        <v>26</v>
      </c>
      <c r="H208" s="16">
        <v>0</v>
      </c>
      <c r="I208" s="16">
        <v>0</v>
      </c>
      <c r="J208" s="16">
        <v>0</v>
      </c>
    </row>
    <row r="209" spans="2:10" x14ac:dyDescent="0.2">
      <c r="B209" s="112" t="s">
        <v>141</v>
      </c>
      <c r="G209" s="115">
        <v>27</v>
      </c>
      <c r="H209" s="16">
        <v>0</v>
      </c>
      <c r="I209" s="16">
        <v>0</v>
      </c>
      <c r="J209" s="16">
        <v>0</v>
      </c>
    </row>
    <row r="210" spans="2:10" ht="5" customHeight="1" x14ac:dyDescent="0.2">
      <c r="B210" s="112"/>
      <c r="H210" s="16"/>
      <c r="I210" s="16"/>
      <c r="J210" s="16"/>
    </row>
    <row r="211" spans="2:10" x14ac:dyDescent="0.2">
      <c r="B211" s="109" t="s">
        <v>142</v>
      </c>
      <c r="G211" s="115">
        <v>28</v>
      </c>
      <c r="H211" s="16">
        <v>0</v>
      </c>
      <c r="I211" s="16">
        <v>0</v>
      </c>
      <c r="J211" s="16">
        <v>0</v>
      </c>
    </row>
    <row r="212" spans="2:10" x14ac:dyDescent="0.2">
      <c r="B212" s="9"/>
      <c r="H212" s="16"/>
      <c r="I212" s="16"/>
      <c r="J212" s="16"/>
    </row>
    <row r="213" spans="2:10" x14ac:dyDescent="0.2">
      <c r="B213" s="27" t="s">
        <v>143</v>
      </c>
      <c r="C213"/>
      <c r="D213"/>
      <c r="E213"/>
      <c r="F213"/>
      <c r="G213" s="116" t="s">
        <v>144</v>
      </c>
      <c r="H213" s="54">
        <f>SUM(H215:H227)</f>
        <v>4000</v>
      </c>
      <c r="I213" s="54" t="e">
        <f t="shared" ref="I213:J213" si="4">SUM(I215:I227)</f>
        <v>#REF!</v>
      </c>
      <c r="J213" s="54" t="e">
        <f t="shared" si="4"/>
        <v>#REF!</v>
      </c>
    </row>
    <row r="214" spans="2:10" ht="5" customHeight="1" x14ac:dyDescent="0.2">
      <c r="B214" s="106"/>
      <c r="H214" s="16"/>
      <c r="I214" s="16"/>
      <c r="J214" s="16"/>
    </row>
    <row r="215" spans="2:10" x14ac:dyDescent="0.2">
      <c r="B215" s="109" t="s">
        <v>145</v>
      </c>
      <c r="G215" s="115">
        <v>29</v>
      </c>
      <c r="H215" s="16"/>
      <c r="I215" s="16"/>
      <c r="J215" s="16"/>
    </row>
    <row r="216" spans="2:10" ht="5" customHeight="1" x14ac:dyDescent="0.2">
      <c r="B216" s="112"/>
      <c r="H216" s="16"/>
      <c r="I216" s="16"/>
      <c r="J216" s="16"/>
    </row>
    <row r="217" spans="2:10" x14ac:dyDescent="0.2">
      <c r="B217" s="106" t="s">
        <v>27</v>
      </c>
      <c r="G217" s="105" t="s">
        <v>146</v>
      </c>
      <c r="H217" s="55">
        <f>+Inbr_Voorraad</f>
        <v>0</v>
      </c>
      <c r="I217" s="16">
        <f>+Eind_Voorraad_J1</f>
        <v>0</v>
      </c>
      <c r="J217" s="16">
        <f>+Eind_Voorraad_J2</f>
        <v>0</v>
      </c>
    </row>
    <row r="218" spans="2:10" ht="5" customHeight="1" x14ac:dyDescent="0.2">
      <c r="B218" s="112"/>
      <c r="H218" s="16"/>
      <c r="I218" s="16"/>
      <c r="J218" s="16"/>
    </row>
    <row r="219" spans="2:10" x14ac:dyDescent="0.2">
      <c r="B219" s="106" t="s">
        <v>28</v>
      </c>
      <c r="G219" s="105" t="s">
        <v>147</v>
      </c>
      <c r="H219" s="54"/>
      <c r="I219" s="54"/>
      <c r="J219" s="54"/>
    </row>
    <row r="220" spans="2:10" x14ac:dyDescent="0.2">
      <c r="B220" s="107" t="s">
        <v>148</v>
      </c>
      <c r="G220" s="115">
        <v>40</v>
      </c>
      <c r="H220" s="16">
        <f>+Inbr_Klanten</f>
        <v>0</v>
      </c>
      <c r="I220" s="43">
        <v>10000</v>
      </c>
      <c r="J220" s="43">
        <v>15000</v>
      </c>
    </row>
    <row r="221" spans="2:10" x14ac:dyDescent="0.2">
      <c r="B221" s="107" t="s">
        <v>30</v>
      </c>
      <c r="G221" s="115">
        <v>41</v>
      </c>
      <c r="H221" s="16">
        <f>+Inbr_Overige_Vord</f>
        <v>0</v>
      </c>
      <c r="I221" s="43"/>
      <c r="J221" s="43"/>
    </row>
    <row r="222" spans="2:10" ht="5" customHeight="1" x14ac:dyDescent="0.2">
      <c r="B222" s="112"/>
      <c r="H222" s="16"/>
      <c r="I222" s="16"/>
      <c r="J222" s="16"/>
    </row>
    <row r="223" spans="2:10" x14ac:dyDescent="0.2">
      <c r="B223" s="109" t="s">
        <v>149</v>
      </c>
      <c r="G223" s="105" t="s">
        <v>150</v>
      </c>
      <c r="H223" s="55">
        <v>0</v>
      </c>
      <c r="I223" s="55">
        <v>0</v>
      </c>
      <c r="J223" s="55">
        <v>0</v>
      </c>
    </row>
    <row r="224" spans="2:10" ht="5" customHeight="1" x14ac:dyDescent="0.2">
      <c r="B224" s="112"/>
      <c r="H224" s="16"/>
      <c r="I224" s="16"/>
      <c r="J224" s="16"/>
    </row>
    <row r="225" spans="2:15" x14ac:dyDescent="0.2">
      <c r="B225" s="106" t="s">
        <v>151</v>
      </c>
      <c r="C225" s="117"/>
      <c r="D225" s="117"/>
      <c r="E225" s="117"/>
      <c r="F225" s="117"/>
      <c r="G225" s="105" t="s">
        <v>152</v>
      </c>
      <c r="H225" s="16">
        <f>+Inbr_Geld+Fin_Bron_Lang+Fin_Bron_Kort</f>
        <v>4000</v>
      </c>
      <c r="I225" s="16" t="e">
        <f>+LiqMid_J0+CashFlow_J1</f>
        <v>#REF!</v>
      </c>
      <c r="J225" s="16" t="e">
        <f>+LiqMid_J1+CashFlow_J2</f>
        <v>#REF!</v>
      </c>
    </row>
    <row r="226" spans="2:15" ht="5" customHeight="1" x14ac:dyDescent="0.2">
      <c r="B226" s="112"/>
      <c r="H226" s="16"/>
      <c r="I226" s="16"/>
      <c r="J226" s="16"/>
    </row>
    <row r="227" spans="2:15" x14ac:dyDescent="0.2">
      <c r="B227" s="109" t="s">
        <v>153</v>
      </c>
      <c r="G227" s="105" t="s">
        <v>154</v>
      </c>
      <c r="H227" s="16">
        <v>0</v>
      </c>
      <c r="I227" s="16">
        <v>0</v>
      </c>
      <c r="J227" s="16">
        <v>0</v>
      </c>
    </row>
    <row r="228" spans="2:15" x14ac:dyDescent="0.2">
      <c r="B228" s="9"/>
      <c r="H228" s="16"/>
      <c r="I228" s="16"/>
      <c r="J228" s="16"/>
    </row>
    <row r="229" spans="2:15" x14ac:dyDescent="0.2">
      <c r="B229" s="225" t="s">
        <v>155</v>
      </c>
      <c r="C229" s="226"/>
      <c r="D229" s="226"/>
      <c r="E229" s="226"/>
      <c r="F229" s="226"/>
      <c r="G229" s="227"/>
      <c r="H229" s="232">
        <f>+H213+H194+H189</f>
        <v>4000</v>
      </c>
      <c r="I229" s="232" t="e">
        <f t="shared" ref="I229:J229" si="5">+I213+I194+I189</f>
        <v>#REF!</v>
      </c>
      <c r="J229" s="232" t="e">
        <f t="shared" si="5"/>
        <v>#REF!</v>
      </c>
      <c r="M229" s="2"/>
      <c r="N229" s="2"/>
      <c r="O229" s="2"/>
    </row>
    <row r="231" spans="2:15" x14ac:dyDescent="0.2">
      <c r="B231" s="263" t="s">
        <v>156</v>
      </c>
      <c r="C231" s="264"/>
      <c r="D231" s="264"/>
      <c r="E231" s="264"/>
      <c r="F231" s="264"/>
      <c r="G231" s="264"/>
      <c r="H231" s="269" t="str">
        <f>+H70</f>
        <v>aanvang</v>
      </c>
      <c r="I231" s="32" t="s">
        <v>2</v>
      </c>
      <c r="J231" s="32" t="s">
        <v>3</v>
      </c>
    </row>
    <row r="232" spans="2:15" x14ac:dyDescent="0.2">
      <c r="B232" s="266"/>
      <c r="C232" s="267"/>
      <c r="D232" s="267"/>
      <c r="E232" s="267"/>
      <c r="F232" s="267"/>
      <c r="G232" s="267"/>
      <c r="H232" s="270"/>
      <c r="I232" s="37" t="s">
        <v>5</v>
      </c>
      <c r="J232" s="37" t="s">
        <v>5</v>
      </c>
    </row>
    <row r="233" spans="2:15" x14ac:dyDescent="0.2">
      <c r="B233" s="9"/>
      <c r="H233" s="7"/>
      <c r="I233" s="7"/>
      <c r="J233" s="7"/>
    </row>
    <row r="234" spans="2:15" x14ac:dyDescent="0.2">
      <c r="B234" s="27" t="s">
        <v>157</v>
      </c>
      <c r="C234" s="117"/>
      <c r="D234" s="117"/>
      <c r="E234" s="117"/>
      <c r="F234" s="117"/>
      <c r="G234" s="105" t="s">
        <v>158</v>
      </c>
      <c r="H234" s="45">
        <f>SUM(H237:H249)</f>
        <v>4000</v>
      </c>
      <c r="I234" s="45">
        <f>SUM(I237:I249)</f>
        <v>10784.23</v>
      </c>
      <c r="J234" s="45">
        <f>SUM(J237:J249)</f>
        <v>26655.899999999998</v>
      </c>
    </row>
    <row r="235" spans="2:15" ht="5" customHeight="1" x14ac:dyDescent="0.2">
      <c r="B235" s="27"/>
      <c r="C235" s="117"/>
      <c r="D235" s="117"/>
      <c r="E235" s="117"/>
      <c r="F235" s="117"/>
      <c r="G235" s="118"/>
      <c r="H235" s="45"/>
      <c r="I235" s="45"/>
      <c r="J235" s="45"/>
    </row>
    <row r="236" spans="2:15" x14ac:dyDescent="0.2">
      <c r="B236" s="106" t="s">
        <v>159</v>
      </c>
      <c r="G236" s="105" t="s">
        <v>160</v>
      </c>
      <c r="H236" s="4"/>
      <c r="I236" s="4"/>
      <c r="J236" s="4"/>
    </row>
    <row r="237" spans="2:15" x14ac:dyDescent="0.2">
      <c r="B237" s="107" t="s">
        <v>161</v>
      </c>
      <c r="G237" s="108"/>
      <c r="H237" s="4">
        <f>+Inbr_Geld</f>
        <v>4000</v>
      </c>
      <c r="I237" s="4">
        <f>+Inbr_Geld</f>
        <v>4000</v>
      </c>
      <c r="J237" s="4">
        <f>+Inbr_Geld</f>
        <v>4000</v>
      </c>
    </row>
    <row r="238" spans="2:15" x14ac:dyDescent="0.2">
      <c r="B238" s="107" t="s">
        <v>162</v>
      </c>
      <c r="G238" s="108"/>
      <c r="H238" s="4">
        <f>+Inbr_Natura_Netto</f>
        <v>0</v>
      </c>
      <c r="I238" s="4">
        <f>+Inbr_Natura_Netto</f>
        <v>0</v>
      </c>
      <c r="J238" s="4">
        <f>+Inbr_Natura_Netto</f>
        <v>0</v>
      </c>
    </row>
    <row r="239" spans="2:15" ht="5" customHeight="1" x14ac:dyDescent="0.2">
      <c r="B239" s="27"/>
      <c r="C239" s="117"/>
      <c r="D239" s="117"/>
      <c r="E239" s="117"/>
      <c r="F239" s="117"/>
      <c r="G239" s="209"/>
      <c r="H239" s="45"/>
      <c r="I239" s="45"/>
      <c r="J239" s="45"/>
    </row>
    <row r="240" spans="2:15" x14ac:dyDescent="0.2">
      <c r="B240" s="109" t="s">
        <v>163</v>
      </c>
      <c r="G240" s="105" t="s">
        <v>164</v>
      </c>
      <c r="H240" s="4">
        <v>0</v>
      </c>
      <c r="I240" s="4">
        <v>0</v>
      </c>
      <c r="J240" s="4">
        <v>0</v>
      </c>
    </row>
    <row r="241" spans="2:10" ht="5" customHeight="1" x14ac:dyDescent="0.2">
      <c r="B241" s="27"/>
      <c r="C241" s="117"/>
      <c r="D241" s="117"/>
      <c r="E241" s="117"/>
      <c r="F241" s="117"/>
      <c r="G241" s="209"/>
      <c r="H241" s="45"/>
      <c r="I241" s="45"/>
      <c r="J241" s="45"/>
    </row>
    <row r="242" spans="2:10" x14ac:dyDescent="0.2">
      <c r="B242" s="109" t="s">
        <v>165</v>
      </c>
      <c r="G242" s="105" t="s">
        <v>166</v>
      </c>
      <c r="H242" s="4">
        <v>0</v>
      </c>
      <c r="I242" s="4">
        <v>0</v>
      </c>
      <c r="J242" s="4">
        <v>0</v>
      </c>
    </row>
    <row r="243" spans="2:10" ht="5" customHeight="1" x14ac:dyDescent="0.2">
      <c r="B243" s="27"/>
      <c r="C243" s="117"/>
      <c r="D243" s="117"/>
      <c r="E243" s="117"/>
      <c r="F243" s="117"/>
      <c r="G243" s="209"/>
      <c r="H243" s="45"/>
      <c r="I243" s="45"/>
      <c r="J243" s="45"/>
    </row>
    <row r="244" spans="2:10" x14ac:dyDescent="0.2">
      <c r="B244" s="109" t="s">
        <v>167</v>
      </c>
      <c r="G244" s="105" t="s">
        <v>168</v>
      </c>
      <c r="H244" s="4">
        <v>0</v>
      </c>
      <c r="I244" s="4">
        <v>0</v>
      </c>
      <c r="J244" s="4">
        <v>0</v>
      </c>
    </row>
    <row r="245" spans="2:10" ht="5" customHeight="1" x14ac:dyDescent="0.2">
      <c r="B245" s="27"/>
      <c r="C245" s="117"/>
      <c r="D245" s="117"/>
      <c r="E245" s="117"/>
      <c r="F245" s="117"/>
      <c r="G245" s="209"/>
      <c r="H245" s="45"/>
      <c r="I245" s="45"/>
      <c r="J245" s="45"/>
    </row>
    <row r="246" spans="2:10" x14ac:dyDescent="0.2">
      <c r="B246" s="106" t="s">
        <v>169</v>
      </c>
      <c r="G246" s="105" t="s">
        <v>170</v>
      </c>
      <c r="H246" s="16">
        <v>0</v>
      </c>
      <c r="I246" s="16">
        <f>+I181</f>
        <v>6784.23</v>
      </c>
      <c r="J246" s="16">
        <f>+I246+J181</f>
        <v>22655.899999999998</v>
      </c>
    </row>
    <row r="247" spans="2:10" ht="5" customHeight="1" x14ac:dyDescent="0.2">
      <c r="B247" s="106"/>
      <c r="C247" s="117"/>
      <c r="D247" s="117"/>
      <c r="E247" s="117"/>
      <c r="F247" s="117"/>
      <c r="G247" s="209"/>
      <c r="H247" s="45"/>
      <c r="I247" s="45"/>
      <c r="J247" s="45"/>
    </row>
    <row r="248" spans="2:10" x14ac:dyDescent="0.2">
      <c r="B248" s="109" t="s">
        <v>171</v>
      </c>
      <c r="G248" s="105" t="s">
        <v>172</v>
      </c>
      <c r="H248" s="16">
        <v>0</v>
      </c>
      <c r="I248" s="16">
        <v>0</v>
      </c>
      <c r="J248" s="16">
        <v>0</v>
      </c>
    </row>
    <row r="249" spans="2:10" x14ac:dyDescent="0.2">
      <c r="B249" s="40"/>
      <c r="G249" s="105"/>
      <c r="H249" s="16"/>
      <c r="I249" s="16"/>
      <c r="J249" s="16"/>
    </row>
    <row r="250" spans="2:10" x14ac:dyDescent="0.2">
      <c r="B250" s="110" t="s">
        <v>173</v>
      </c>
      <c r="G250" s="105" t="s">
        <v>174</v>
      </c>
      <c r="H250" s="54">
        <v>0</v>
      </c>
      <c r="I250" s="54">
        <v>0</v>
      </c>
      <c r="J250" s="54">
        <v>0</v>
      </c>
    </row>
    <row r="251" spans="2:10" x14ac:dyDescent="0.2">
      <c r="B251" s="9"/>
      <c r="H251" s="7"/>
      <c r="I251" s="7"/>
      <c r="J251" s="7"/>
    </row>
    <row r="252" spans="2:10" x14ac:dyDescent="0.2">
      <c r="B252" s="27" t="s">
        <v>175</v>
      </c>
      <c r="C252" s="117"/>
      <c r="D252" s="117"/>
      <c r="E252" s="117"/>
      <c r="F252" s="117"/>
      <c r="G252" s="105" t="s">
        <v>176</v>
      </c>
      <c r="H252" s="45">
        <f>SUM(H254:H275)</f>
        <v>0</v>
      </c>
      <c r="I252" s="45">
        <f t="shared" ref="I252:J252" si="6">SUM(I254:I275)</f>
        <v>0</v>
      </c>
      <c r="J252" s="45">
        <f t="shared" si="6"/>
        <v>0</v>
      </c>
    </row>
    <row r="253" spans="2:10" ht="5" customHeight="1" x14ac:dyDescent="0.2">
      <c r="B253" s="106"/>
      <c r="C253" s="117"/>
      <c r="D253" s="117"/>
      <c r="E253" s="117"/>
      <c r="F253" s="117"/>
      <c r="G253" s="209"/>
      <c r="H253" s="45"/>
      <c r="I253" s="45"/>
      <c r="J253" s="45"/>
    </row>
    <row r="254" spans="2:10" x14ac:dyDescent="0.2">
      <c r="B254" s="106" t="s">
        <v>177</v>
      </c>
      <c r="C254" s="111"/>
      <c r="G254" s="105" t="s">
        <v>178</v>
      </c>
      <c r="H254" s="4"/>
      <c r="I254" s="4"/>
      <c r="J254" s="4"/>
    </row>
    <row r="255" spans="2:10" x14ac:dyDescent="0.2">
      <c r="B255" s="107" t="s">
        <v>179</v>
      </c>
      <c r="G255" s="105" t="s">
        <v>180</v>
      </c>
      <c r="H255" s="4">
        <f>Inbr_Lening_lang</f>
        <v>0</v>
      </c>
      <c r="I255" s="4">
        <f>Lening_Lang_J1</f>
        <v>0</v>
      </c>
      <c r="J255" s="4">
        <f>Lening_Lang_J2</f>
        <v>0</v>
      </c>
    </row>
    <row r="256" spans="2:10" x14ac:dyDescent="0.2">
      <c r="B256" s="107" t="s">
        <v>181</v>
      </c>
      <c r="G256" s="105" t="s">
        <v>182</v>
      </c>
      <c r="H256" s="4">
        <f>Fin_Bron_Lang</f>
        <v>0</v>
      </c>
      <c r="I256" s="4">
        <f>ALening_Lang_J1</f>
        <v>0</v>
      </c>
      <c r="J256" s="4">
        <f>ALening_Lang_J2</f>
        <v>0</v>
      </c>
    </row>
    <row r="257" spans="2:10" ht="5" customHeight="1" x14ac:dyDescent="0.2">
      <c r="B257" s="106"/>
      <c r="C257" s="117"/>
      <c r="D257" s="117"/>
      <c r="E257" s="117"/>
      <c r="F257" s="117"/>
      <c r="G257" s="209"/>
      <c r="H257" s="45"/>
      <c r="I257" s="45"/>
      <c r="J257" s="45"/>
    </row>
    <row r="258" spans="2:10" x14ac:dyDescent="0.2">
      <c r="B258" s="106" t="s">
        <v>183</v>
      </c>
      <c r="C258" s="111"/>
      <c r="G258" s="105" t="s">
        <v>184</v>
      </c>
      <c r="H258" s="4"/>
      <c r="I258" s="4"/>
      <c r="J258" s="4"/>
    </row>
    <row r="259" spans="2:10" x14ac:dyDescent="0.2">
      <c r="B259" s="107" t="s">
        <v>179</v>
      </c>
      <c r="C259" s="111"/>
      <c r="G259" s="271"/>
      <c r="H259" s="4">
        <f>Inbr_Lening_Kort</f>
        <v>0</v>
      </c>
      <c r="I259" s="4">
        <f>Lening_Kort_J1</f>
        <v>0</v>
      </c>
      <c r="J259" s="4">
        <f>Lening_Kort_J2</f>
        <v>0</v>
      </c>
    </row>
    <row r="260" spans="2:10" x14ac:dyDescent="0.2">
      <c r="B260" s="107" t="s">
        <v>181</v>
      </c>
      <c r="C260"/>
      <c r="G260" s="272"/>
      <c r="H260" s="4">
        <f>Fin_Bron_Kort</f>
        <v>0</v>
      </c>
      <c r="I260" s="4">
        <f>ALening_Kort_J1</f>
        <v>0</v>
      </c>
      <c r="J260" s="4">
        <f>ALening_Kort_J2</f>
        <v>0</v>
      </c>
    </row>
    <row r="261" spans="2:10" ht="5" customHeight="1" x14ac:dyDescent="0.2">
      <c r="B261" s="106"/>
      <c r="C261" s="117"/>
      <c r="D261" s="117"/>
      <c r="E261" s="117"/>
      <c r="F261" s="117"/>
      <c r="G261" s="209"/>
      <c r="H261" s="45"/>
      <c r="I261" s="45"/>
      <c r="J261" s="45"/>
    </row>
    <row r="262" spans="2:10" x14ac:dyDescent="0.2">
      <c r="B262" s="106" t="s">
        <v>185</v>
      </c>
      <c r="C262" s="111"/>
      <c r="G262" s="105" t="s">
        <v>186</v>
      </c>
      <c r="H262" s="4"/>
      <c r="I262" s="4"/>
      <c r="J262" s="4"/>
    </row>
    <row r="263" spans="2:10" ht="5" customHeight="1" x14ac:dyDescent="0.2">
      <c r="B263" s="106"/>
      <c r="C263" s="117"/>
      <c r="D263" s="117"/>
      <c r="E263" s="117"/>
      <c r="F263" s="117"/>
      <c r="G263" s="209"/>
      <c r="H263" s="45"/>
      <c r="I263" s="45"/>
      <c r="J263" s="45"/>
    </row>
    <row r="264" spans="2:10" x14ac:dyDescent="0.2">
      <c r="B264" s="112" t="s">
        <v>187</v>
      </c>
      <c r="C264" s="111"/>
      <c r="G264" s="105"/>
      <c r="H264" s="4"/>
      <c r="I264" s="4"/>
      <c r="J264" s="4"/>
    </row>
    <row r="265" spans="2:10" ht="5" customHeight="1" x14ac:dyDescent="0.2">
      <c r="B265" s="107"/>
      <c r="C265" s="117"/>
      <c r="D265" s="117"/>
      <c r="E265" s="117"/>
      <c r="F265" s="117"/>
      <c r="G265" s="209"/>
      <c r="H265" s="45"/>
      <c r="I265" s="45"/>
      <c r="J265" s="45"/>
    </row>
    <row r="266" spans="2:10" x14ac:dyDescent="0.2">
      <c r="B266" s="107" t="s">
        <v>34</v>
      </c>
      <c r="G266" s="105" t="s">
        <v>188</v>
      </c>
      <c r="H266" s="4">
        <f>+Inbr_Leveranciers</f>
        <v>0</v>
      </c>
      <c r="I266" s="44"/>
      <c r="J266" s="44"/>
    </row>
    <row r="267" spans="2:10" ht="5" customHeight="1" x14ac:dyDescent="0.2">
      <c r="B267" s="107"/>
      <c r="C267" s="117"/>
      <c r="D267" s="117"/>
      <c r="E267" s="117"/>
      <c r="F267" s="117"/>
      <c r="G267" s="209"/>
      <c r="H267" s="45"/>
      <c r="I267" s="45"/>
      <c r="J267" s="45"/>
    </row>
    <row r="268" spans="2:10" x14ac:dyDescent="0.2">
      <c r="B268" s="107" t="s">
        <v>189</v>
      </c>
      <c r="G268" s="105" t="s">
        <v>190</v>
      </c>
      <c r="H268" s="4"/>
      <c r="I268" s="44"/>
      <c r="J268" s="44"/>
    </row>
    <row r="269" spans="2:10" ht="5" customHeight="1" x14ac:dyDescent="0.2">
      <c r="B269" s="107"/>
      <c r="C269" s="117"/>
      <c r="D269" s="117"/>
      <c r="E269" s="117"/>
      <c r="F269" s="117"/>
      <c r="G269" s="209"/>
      <c r="H269" s="45"/>
      <c r="I269" s="45"/>
      <c r="J269" s="45"/>
    </row>
    <row r="270" spans="2:10" x14ac:dyDescent="0.2">
      <c r="B270" s="112" t="s">
        <v>191</v>
      </c>
      <c r="C270" s="111"/>
      <c r="G270" s="105" t="s">
        <v>192</v>
      </c>
      <c r="H270" s="4"/>
      <c r="I270" s="4"/>
      <c r="J270" s="4"/>
    </row>
    <row r="271" spans="2:10" ht="5" customHeight="1" x14ac:dyDescent="0.2">
      <c r="B271" s="107"/>
      <c r="C271" s="117"/>
      <c r="D271" s="117"/>
      <c r="E271" s="117"/>
      <c r="F271" s="117"/>
      <c r="G271" s="209"/>
      <c r="H271" s="45"/>
      <c r="I271" s="45"/>
      <c r="J271" s="45"/>
    </row>
    <row r="272" spans="2:10" x14ac:dyDescent="0.2">
      <c r="B272" s="112" t="s">
        <v>193</v>
      </c>
      <c r="C272" s="111"/>
      <c r="G272" s="105" t="s">
        <v>194</v>
      </c>
      <c r="H272" s="4"/>
      <c r="I272" s="4"/>
      <c r="J272" s="4"/>
    </row>
    <row r="273" spans="2:15" ht="5" customHeight="1" x14ac:dyDescent="0.2">
      <c r="B273" s="106"/>
      <c r="C273" s="117"/>
      <c r="D273" s="117"/>
      <c r="E273" s="117"/>
      <c r="F273" s="117"/>
      <c r="G273" s="209"/>
      <c r="H273" s="45"/>
      <c r="I273" s="45"/>
      <c r="J273" s="45"/>
    </row>
    <row r="274" spans="2:15" x14ac:dyDescent="0.2">
      <c r="B274" s="109" t="s">
        <v>195</v>
      </c>
      <c r="C274" s="111"/>
      <c r="G274" s="105" t="s">
        <v>196</v>
      </c>
      <c r="H274" s="4"/>
      <c r="I274" s="4"/>
      <c r="J274" s="4"/>
    </row>
    <row r="275" spans="2:15" x14ac:dyDescent="0.2">
      <c r="B275" s="9"/>
      <c r="H275" s="7"/>
      <c r="I275" s="7"/>
      <c r="J275" s="7"/>
    </row>
    <row r="276" spans="2:15" x14ac:dyDescent="0.2">
      <c r="B276" s="225" t="s">
        <v>197</v>
      </c>
      <c r="C276" s="226"/>
      <c r="D276" s="226"/>
      <c r="E276" s="226"/>
      <c r="F276" s="226"/>
      <c r="G276" s="227"/>
      <c r="H276" s="232">
        <f>+H252+H250+H234</f>
        <v>4000</v>
      </c>
      <c r="I276" s="232">
        <f t="shared" ref="I276:J276" si="7">+I252+I250+I234</f>
        <v>10784.23</v>
      </c>
      <c r="J276" s="232">
        <f t="shared" si="7"/>
        <v>26655.899999999998</v>
      </c>
      <c r="M276" s="2"/>
      <c r="N276" s="2"/>
      <c r="O276" s="2"/>
    </row>
    <row r="279" spans="2:15" x14ac:dyDescent="0.2">
      <c r="B279" s="216" t="s">
        <v>198</v>
      </c>
      <c r="C279" s="128" t="s">
        <v>199</v>
      </c>
      <c r="D279" s="128"/>
      <c r="E279" s="128"/>
      <c r="F279" s="128"/>
      <c r="G279" s="217"/>
      <c r="H279" s="218"/>
      <c r="I279" s="218"/>
      <c r="J279" s="219"/>
    </row>
    <row r="281" spans="2:15" x14ac:dyDescent="0.2">
      <c r="B281" s="263" t="s">
        <v>200</v>
      </c>
      <c r="C281" s="264"/>
      <c r="D281" s="264"/>
      <c r="E281" s="264"/>
      <c r="F281" s="264"/>
      <c r="G281" s="264"/>
      <c r="H281" s="264"/>
      <c r="I281" s="32" t="s">
        <v>2</v>
      </c>
      <c r="J281" s="32" t="s">
        <v>3</v>
      </c>
    </row>
    <row r="282" spans="2:15" x14ac:dyDescent="0.2">
      <c r="B282" s="266"/>
      <c r="C282" s="267"/>
      <c r="D282" s="267"/>
      <c r="E282" s="267"/>
      <c r="F282" s="267"/>
      <c r="G282" s="267"/>
      <c r="H282" s="267"/>
      <c r="I282" s="37" t="s">
        <v>5</v>
      </c>
      <c r="J282" s="37" t="s">
        <v>5</v>
      </c>
    </row>
    <row r="283" spans="2:15" ht="5" customHeight="1" x14ac:dyDescent="0.2">
      <c r="B283" s="106"/>
      <c r="C283" s="117"/>
      <c r="D283" s="117"/>
      <c r="E283" s="117"/>
      <c r="F283" s="117"/>
      <c r="G283" s="209"/>
      <c r="H283" s="46"/>
      <c r="I283" s="45"/>
      <c r="J283" s="45"/>
    </row>
    <row r="284" spans="2:15" x14ac:dyDescent="0.2">
      <c r="B284" s="9" t="s">
        <v>201</v>
      </c>
      <c r="H284" s="20"/>
      <c r="I284" s="16" t="e">
        <f>EBIT_J1</f>
        <v>#REF!</v>
      </c>
      <c r="J284" s="16" t="e">
        <f>EBIT_J2</f>
        <v>#REF!</v>
      </c>
    </row>
    <row r="285" spans="2:15" x14ac:dyDescent="0.2">
      <c r="B285" s="26" t="s">
        <v>202</v>
      </c>
      <c r="H285" s="20"/>
      <c r="I285" s="16">
        <f>Afs_Tot_J1</f>
        <v>4500</v>
      </c>
      <c r="J285" s="16">
        <f>Afs_Tot_J2</f>
        <v>1600</v>
      </c>
    </row>
    <row r="286" spans="2:15" x14ac:dyDescent="0.2">
      <c r="B286" s="26" t="s">
        <v>203</v>
      </c>
      <c r="H286" s="20"/>
      <c r="I286" s="16">
        <v>0</v>
      </c>
      <c r="J286" s="16">
        <v>0</v>
      </c>
    </row>
    <row r="287" spans="2:15" x14ac:dyDescent="0.2">
      <c r="B287" s="225" t="s">
        <v>204</v>
      </c>
      <c r="C287" s="226"/>
      <c r="D287" s="226"/>
      <c r="E287" s="226"/>
      <c r="F287" s="226"/>
      <c r="G287" s="227"/>
      <c r="H287" s="231"/>
      <c r="I287" s="232" t="e">
        <f>+I284+I285+I286</f>
        <v>#REF!</v>
      </c>
      <c r="J287" s="232" t="e">
        <f>+J284+J285+J286</f>
        <v>#REF!</v>
      </c>
    </row>
    <row r="288" spans="2:15" x14ac:dyDescent="0.2">
      <c r="B288" s="9" t="s">
        <v>205</v>
      </c>
      <c r="H288" s="21"/>
      <c r="I288" s="16">
        <f>-Eind_Voorraad_J1+Eind_Voorraad_J0</f>
        <v>0</v>
      </c>
      <c r="J288" s="16">
        <f>-Eind_Voorraad_J2+Eind_Voorraad_J1</f>
        <v>0</v>
      </c>
    </row>
    <row r="289" spans="2:10" x14ac:dyDescent="0.2">
      <c r="B289" s="9" t="s">
        <v>206</v>
      </c>
      <c r="H289" s="20"/>
      <c r="I289" s="16">
        <f>-Klanten_J1+Klanten_J0</f>
        <v>0</v>
      </c>
      <c r="J289" s="16">
        <f>-Klanten_J2+Klanten_J1</f>
        <v>0</v>
      </c>
    </row>
    <row r="290" spans="2:10" x14ac:dyDescent="0.2">
      <c r="B290" s="9" t="s">
        <v>207</v>
      </c>
      <c r="H290" s="21"/>
      <c r="I290" s="16">
        <f>-OVord_J1+OVord_J0</f>
        <v>0</v>
      </c>
      <c r="J290" s="16">
        <f>-OVord_J2+OVord_J1</f>
        <v>0</v>
      </c>
    </row>
    <row r="291" spans="2:10" x14ac:dyDescent="0.2">
      <c r="B291" s="9" t="s">
        <v>208</v>
      </c>
      <c r="H291" s="20"/>
      <c r="I291" s="16">
        <f>+Leveranciers_J1-Leveranciers_J0</f>
        <v>0</v>
      </c>
      <c r="J291" s="16">
        <f>Leveranciers_J2-Leveranciers_J1</f>
        <v>0</v>
      </c>
    </row>
    <row r="292" spans="2:10" x14ac:dyDescent="0.2">
      <c r="B292" s="9" t="s">
        <v>209</v>
      </c>
      <c r="H292" s="20"/>
      <c r="I292" s="16">
        <f>+SocFisc_SChuld_J1-SocFisc_Schuld_J0</f>
        <v>0</v>
      </c>
      <c r="J292" s="16">
        <f>+SocFisc_Schuld_J2-SocFisc_SChuld_J1</f>
        <v>0</v>
      </c>
    </row>
    <row r="293" spans="2:10" x14ac:dyDescent="0.2">
      <c r="B293" s="9"/>
      <c r="H293" s="21"/>
      <c r="I293" s="7"/>
      <c r="J293" s="7"/>
    </row>
    <row r="294" spans="2:10" x14ac:dyDescent="0.2">
      <c r="B294" s="225" t="s">
        <v>210</v>
      </c>
      <c r="C294" s="226"/>
      <c r="D294" s="226"/>
      <c r="E294" s="226"/>
      <c r="F294" s="226"/>
      <c r="G294" s="227"/>
      <c r="H294" s="231"/>
      <c r="I294" s="232">
        <f>SUM(I288:I293)</f>
        <v>0</v>
      </c>
      <c r="J294" s="232">
        <f>SUM(J288:J293)</f>
        <v>0</v>
      </c>
    </row>
    <row r="295" spans="2:10" x14ac:dyDescent="0.2">
      <c r="B295" s="9"/>
      <c r="H295" s="21"/>
      <c r="I295" s="7"/>
      <c r="J295" s="7"/>
    </row>
    <row r="296" spans="2:10" x14ac:dyDescent="0.2">
      <c r="B296" s="9" t="s">
        <v>211</v>
      </c>
      <c r="H296" s="20"/>
      <c r="I296" s="16" t="e">
        <f>VenB_J1</f>
        <v>#REF!</v>
      </c>
      <c r="J296" s="16" t="e">
        <f>VenB_J2</f>
        <v>#REF!</v>
      </c>
    </row>
    <row r="297" spans="2:10" x14ac:dyDescent="0.2">
      <c r="B297" s="9"/>
      <c r="H297" s="21"/>
      <c r="I297" s="7"/>
      <c r="J297" s="7"/>
    </row>
    <row r="298" spans="2:10" x14ac:dyDescent="0.2">
      <c r="B298" s="225" t="s">
        <v>212</v>
      </c>
      <c r="C298" s="226"/>
      <c r="D298" s="226"/>
      <c r="E298" s="226"/>
      <c r="F298" s="226"/>
      <c r="G298" s="227"/>
      <c r="H298" s="231"/>
      <c r="I298" s="232" t="e">
        <f>+I287+I294+I296</f>
        <v>#REF!</v>
      </c>
      <c r="J298" s="232" t="e">
        <f>+J287+J294+J296</f>
        <v>#REF!</v>
      </c>
    </row>
    <row r="299" spans="2:10" x14ac:dyDescent="0.2">
      <c r="B299" s="9"/>
      <c r="H299" s="21"/>
      <c r="I299" s="7"/>
      <c r="J299" s="7"/>
    </row>
    <row r="300" spans="2:10" x14ac:dyDescent="0.2">
      <c r="B300" s="9" t="s">
        <v>213</v>
      </c>
      <c r="H300" s="20"/>
      <c r="I300" s="16">
        <f>-Inv_Tot_J1</f>
        <v>-51950</v>
      </c>
      <c r="J300" s="16">
        <f>-Inv_Tot_J2</f>
        <v>0</v>
      </c>
    </row>
    <row r="301" spans="2:10" x14ac:dyDescent="0.2">
      <c r="B301" s="9"/>
      <c r="H301" s="21"/>
      <c r="I301" s="7"/>
      <c r="J301" s="7"/>
    </row>
    <row r="302" spans="2:10" x14ac:dyDescent="0.2">
      <c r="B302" s="225" t="s">
        <v>214</v>
      </c>
      <c r="C302" s="226"/>
      <c r="D302" s="226"/>
      <c r="E302" s="226"/>
      <c r="F302" s="226"/>
      <c r="G302" s="227"/>
      <c r="H302" s="231"/>
      <c r="I302" s="232">
        <f>SUM(I300:I301)</f>
        <v>-51950</v>
      </c>
      <c r="J302" s="232">
        <f>SUM(J300:J301)</f>
        <v>0</v>
      </c>
    </row>
    <row r="303" spans="2:10" x14ac:dyDescent="0.2">
      <c r="B303" s="17"/>
      <c r="C303" s="18"/>
      <c r="D303" s="18"/>
      <c r="E303" s="18"/>
      <c r="F303" s="18"/>
      <c r="G303" s="19"/>
      <c r="H303" s="104"/>
      <c r="I303" s="15"/>
      <c r="J303" s="15"/>
    </row>
    <row r="304" spans="2:10" x14ac:dyDescent="0.2">
      <c r="B304" s="26" t="s">
        <v>215</v>
      </c>
      <c r="H304" s="21"/>
      <c r="I304" s="7"/>
      <c r="J304" s="7"/>
    </row>
    <row r="305" spans="2:10" x14ac:dyDescent="0.2">
      <c r="B305" s="40" t="s">
        <v>216</v>
      </c>
      <c r="H305" s="21"/>
      <c r="I305" s="4">
        <f>Lening_Lang_Nieuw_J1+Lening_Kort_Nieuw_J1+ALening_Lang_Nieuw_J1+ALening_Kort_Nieuw_J1</f>
        <v>0</v>
      </c>
      <c r="J305" s="4">
        <f>Lening_Lang_Nieuw_J2+Lening_Kort_Nieuw_J2+Alening_Lang_Nieuw_J2+ALening_Kort_Nieuw_J2</f>
        <v>0</v>
      </c>
    </row>
    <row r="306" spans="2:10" x14ac:dyDescent="0.2">
      <c r="B306" s="40" t="s">
        <v>217</v>
      </c>
      <c r="H306" s="21"/>
      <c r="I306" s="4">
        <f>Lening_Kort_Aflos_J1+ALening_Kort_Aflos_J1</f>
        <v>0</v>
      </c>
      <c r="J306" s="4">
        <f>Lening_Kort_Aflos_J2+ALening_Kort_Aflos_J2</f>
        <v>0</v>
      </c>
    </row>
    <row r="307" spans="2:10" x14ac:dyDescent="0.2">
      <c r="B307" s="40" t="s">
        <v>218</v>
      </c>
      <c r="H307" s="21"/>
      <c r="I307" s="4"/>
      <c r="J307" s="4"/>
    </row>
    <row r="308" spans="2:10" x14ac:dyDescent="0.2">
      <c r="B308" s="40" t="s">
        <v>219</v>
      </c>
      <c r="H308" s="20"/>
      <c r="I308" s="16">
        <f>+FinKost_J1</f>
        <v>898.33333333333326</v>
      </c>
      <c r="J308" s="16">
        <f>+FinKost_J2</f>
        <v>707.4</v>
      </c>
    </row>
    <row r="309" spans="2:10" x14ac:dyDescent="0.2">
      <c r="B309" s="40" t="s">
        <v>220</v>
      </c>
      <c r="H309" s="20"/>
      <c r="I309" s="16">
        <f>+FinOpbr_J1</f>
        <v>0</v>
      </c>
      <c r="J309" s="16">
        <f>+FinOpbr_J2</f>
        <v>0</v>
      </c>
    </row>
    <row r="310" spans="2:10" x14ac:dyDescent="0.2">
      <c r="B310" s="9"/>
      <c r="H310" s="21"/>
      <c r="I310" s="16"/>
      <c r="J310" s="16"/>
    </row>
    <row r="311" spans="2:10" x14ac:dyDescent="0.2">
      <c r="B311" s="225" t="s">
        <v>221</v>
      </c>
      <c r="C311" s="226"/>
      <c r="D311" s="226"/>
      <c r="E311" s="226"/>
      <c r="F311" s="226"/>
      <c r="G311" s="227"/>
      <c r="H311" s="231"/>
      <c r="I311" s="232">
        <f>SUM(I304:I310)</f>
        <v>898.33333333333326</v>
      </c>
      <c r="J311" s="232">
        <f>SUM(J304:J310)</f>
        <v>707.4</v>
      </c>
    </row>
    <row r="313" spans="2:10" x14ac:dyDescent="0.2">
      <c r="B313" s="263" t="s">
        <v>222</v>
      </c>
      <c r="C313" s="264"/>
      <c r="D313" s="264"/>
      <c r="E313" s="264"/>
      <c r="F313" s="264"/>
      <c r="G313" s="264"/>
      <c r="H313" s="264"/>
      <c r="I313" s="32" t="s">
        <v>2</v>
      </c>
      <c r="J313" s="32" t="s">
        <v>3</v>
      </c>
    </row>
    <row r="314" spans="2:10" x14ac:dyDescent="0.2">
      <c r="B314" s="266"/>
      <c r="C314" s="267"/>
      <c r="D314" s="267"/>
      <c r="E314" s="267"/>
      <c r="F314" s="267"/>
      <c r="G314" s="267"/>
      <c r="H314" s="267"/>
      <c r="I314" s="37" t="s">
        <v>5</v>
      </c>
      <c r="J314" s="37" t="s">
        <v>5</v>
      </c>
    </row>
    <row r="315" spans="2:10" x14ac:dyDescent="0.2">
      <c r="B315" s="9"/>
      <c r="H315" s="21"/>
      <c r="I315" s="7"/>
      <c r="J315" s="7"/>
    </row>
    <row r="316" spans="2:10" x14ac:dyDescent="0.2">
      <c r="B316" s="9" t="s">
        <v>212</v>
      </c>
      <c r="H316" s="20"/>
      <c r="I316" s="16" t="e">
        <f>+I298</f>
        <v>#REF!</v>
      </c>
      <c r="J316" s="16" t="e">
        <f>+J298</f>
        <v>#REF!</v>
      </c>
    </row>
    <row r="317" spans="2:10" x14ac:dyDescent="0.2">
      <c r="B317" s="9" t="s">
        <v>214</v>
      </c>
      <c r="H317" s="20"/>
      <c r="I317" s="16">
        <f>+I302</f>
        <v>-51950</v>
      </c>
      <c r="J317" s="16">
        <f>+J302</f>
        <v>0</v>
      </c>
    </row>
    <row r="318" spans="2:10" x14ac:dyDescent="0.2">
      <c r="B318" s="9" t="s">
        <v>221</v>
      </c>
      <c r="H318" s="20"/>
      <c r="I318" s="16">
        <f>+I311</f>
        <v>898.33333333333326</v>
      </c>
      <c r="J318" s="16">
        <f>+J311</f>
        <v>707.4</v>
      </c>
    </row>
    <row r="319" spans="2:10" x14ac:dyDescent="0.2">
      <c r="B319" s="9"/>
      <c r="H319" s="21"/>
      <c r="I319" s="7"/>
      <c r="J319" s="7"/>
    </row>
    <row r="320" spans="2:10" x14ac:dyDescent="0.2">
      <c r="B320" s="225" t="s">
        <v>223</v>
      </c>
      <c r="C320" s="226"/>
      <c r="D320" s="226"/>
      <c r="E320" s="226"/>
      <c r="F320" s="226"/>
      <c r="G320" s="227"/>
      <c r="H320" s="231"/>
      <c r="I320" s="232" t="e">
        <f>SUM(I316:I318)</f>
        <v>#REF!</v>
      </c>
      <c r="J320" s="232" t="e">
        <f>SUM(J316:J318)</f>
        <v>#REF!</v>
      </c>
    </row>
    <row r="322" spans="2:10" x14ac:dyDescent="0.2">
      <c r="B322" s="263" t="s">
        <v>224</v>
      </c>
      <c r="C322" s="264"/>
      <c r="D322" s="264"/>
      <c r="E322" s="264"/>
      <c r="F322" s="264"/>
      <c r="G322" s="264"/>
      <c r="H322" s="264"/>
      <c r="I322" s="32" t="s">
        <v>2</v>
      </c>
      <c r="J322" s="32" t="s">
        <v>3</v>
      </c>
    </row>
    <row r="323" spans="2:10" x14ac:dyDescent="0.2">
      <c r="B323" s="266"/>
      <c r="C323" s="267"/>
      <c r="D323" s="267"/>
      <c r="E323" s="267"/>
      <c r="F323" s="267"/>
      <c r="G323" s="267"/>
      <c r="H323" s="267"/>
      <c r="I323" s="37" t="s">
        <v>5</v>
      </c>
      <c r="J323" s="37" t="s">
        <v>5</v>
      </c>
    </row>
    <row r="324" spans="2:10" x14ac:dyDescent="0.2">
      <c r="B324" s="9"/>
      <c r="H324" s="21"/>
      <c r="I324" s="7"/>
      <c r="J324" s="7"/>
    </row>
    <row r="325" spans="2:10" x14ac:dyDescent="0.2">
      <c r="B325" s="9" t="s">
        <v>225</v>
      </c>
      <c r="H325" s="21"/>
      <c r="I325" s="16">
        <f>Inbr_Geld+Fin_Bron_Lang+Fin_Bron_Kort</f>
        <v>4000</v>
      </c>
      <c r="J325" s="16" t="e">
        <f>+I326</f>
        <v>#REF!</v>
      </c>
    </row>
    <row r="326" spans="2:10" x14ac:dyDescent="0.2">
      <c r="B326" s="9" t="s">
        <v>226</v>
      </c>
      <c r="H326" s="20"/>
      <c r="I326" s="16" t="e">
        <f>+I325+CashFlow_J1</f>
        <v>#REF!</v>
      </c>
      <c r="J326" s="16" t="e">
        <f>+J325+CashFlow_J2</f>
        <v>#REF!</v>
      </c>
    </row>
    <row r="327" spans="2:10" x14ac:dyDescent="0.2">
      <c r="B327" s="9"/>
      <c r="H327" s="20"/>
      <c r="I327" s="7"/>
      <c r="J327" s="7"/>
    </row>
    <row r="328" spans="2:10" x14ac:dyDescent="0.2">
      <c r="B328" s="225" t="s">
        <v>223</v>
      </c>
      <c r="C328" s="226"/>
      <c r="D328" s="226"/>
      <c r="E328" s="226"/>
      <c r="F328" s="226"/>
      <c r="G328" s="227"/>
      <c r="H328" s="231"/>
      <c r="I328" s="232" t="e">
        <f>+I326-I325</f>
        <v>#REF!</v>
      </c>
      <c r="J328" s="232" t="e">
        <f>+J326-J325</f>
        <v>#REF!</v>
      </c>
    </row>
  </sheetData>
  <mergeCells count="25">
    <mergeCell ref="B322:G323"/>
    <mergeCell ref="H322:H323"/>
    <mergeCell ref="G200:G201"/>
    <mergeCell ref="G202:G203"/>
    <mergeCell ref="G204:G205"/>
    <mergeCell ref="G206:G207"/>
    <mergeCell ref="B231:G232"/>
    <mergeCell ref="H231:H232"/>
    <mergeCell ref="G259:G260"/>
    <mergeCell ref="B281:G282"/>
    <mergeCell ref="H281:H282"/>
    <mergeCell ref="B313:G314"/>
    <mergeCell ref="H313:H314"/>
    <mergeCell ref="G196:G197"/>
    <mergeCell ref="B8:F8"/>
    <mergeCell ref="B20:J21"/>
    <mergeCell ref="H67:J67"/>
    <mergeCell ref="I68:J68"/>
    <mergeCell ref="G105:H105"/>
    <mergeCell ref="I105:J105"/>
    <mergeCell ref="B120:H121"/>
    <mergeCell ref="B164:H165"/>
    <mergeCell ref="B176:H177"/>
    <mergeCell ref="B186:G187"/>
    <mergeCell ref="H186:H187"/>
  </mergeCells>
  <conditionalFormatting sqref="I90">
    <cfRule type="expression" dxfId="39" priority="20">
      <formula>Afs_OK_J1&gt;Inv_OK_J1</formula>
    </cfRule>
  </conditionalFormatting>
  <conditionalFormatting sqref="J90">
    <cfRule type="expression" dxfId="38" priority="19">
      <formula>Afs_OK_J1+Afs_OK_J2&gt;Inv_OK_J1</formula>
    </cfRule>
  </conditionalFormatting>
  <conditionalFormatting sqref="I92">
    <cfRule type="expression" dxfId="37" priority="18">
      <formula>$I$92&gt;$H$74+$I$74</formula>
    </cfRule>
  </conditionalFormatting>
  <conditionalFormatting sqref="J92">
    <cfRule type="expression" dxfId="36" priority="17">
      <formula>$I$92+$J$92&gt;$H$74+$I$74+$J$74</formula>
    </cfRule>
  </conditionalFormatting>
  <conditionalFormatting sqref="I95">
    <cfRule type="expression" dxfId="35" priority="16">
      <formula>$I$95&gt;$H$77+$I$77</formula>
    </cfRule>
  </conditionalFormatting>
  <conditionalFormatting sqref="J95">
    <cfRule type="expression" dxfId="34" priority="15">
      <formula>$I$95+$J$95&gt;$H$77+$I$77+$J$77</formula>
    </cfRule>
  </conditionalFormatting>
  <conditionalFormatting sqref="I96">
    <cfRule type="expression" dxfId="33" priority="14">
      <formula>$I$96&gt;$H$78+$I$78</formula>
    </cfRule>
  </conditionalFormatting>
  <conditionalFormatting sqref="J96">
    <cfRule type="expression" dxfId="32" priority="13">
      <formula>$I$96+$J$96&gt;$H$78+$I$78+$J$78</formula>
    </cfRule>
  </conditionalFormatting>
  <conditionalFormatting sqref="I97">
    <cfRule type="expression" dxfId="31" priority="12">
      <formula>$I$97&gt;$H$79+$I$79</formula>
    </cfRule>
  </conditionalFormatting>
  <conditionalFormatting sqref="J97">
    <cfRule type="expression" dxfId="30" priority="11">
      <formula>$I$97+$J$97&gt;$H$79+$I$79+$J$79</formula>
    </cfRule>
  </conditionalFormatting>
  <conditionalFormatting sqref="I98">
    <cfRule type="expression" dxfId="29" priority="10">
      <formula>$I$98&gt;$H$80+$I$80</formula>
    </cfRule>
  </conditionalFormatting>
  <conditionalFormatting sqref="J98">
    <cfRule type="expression" dxfId="28" priority="9">
      <formula>$I$98+$J$98&gt;$H$80+$I$80+$J$80</formula>
    </cfRule>
  </conditionalFormatting>
  <conditionalFormatting sqref="H109">
    <cfRule type="expression" dxfId="27" priority="8">
      <formula>-$H$109&gt;SUM($H$107:$H$108)</formula>
    </cfRule>
  </conditionalFormatting>
  <conditionalFormatting sqref="J109">
    <cfRule type="expression" dxfId="26" priority="7">
      <formula>-$J$109&gt;SUM($J$107:$J$108)</formula>
    </cfRule>
  </conditionalFormatting>
  <conditionalFormatting sqref="G110">
    <cfRule type="expression" dxfId="25" priority="6">
      <formula>-$G$110&gt;SUM($G$107:$G$108)</formula>
    </cfRule>
  </conditionalFormatting>
  <conditionalFormatting sqref="I110">
    <cfRule type="expression" dxfId="24" priority="5">
      <formula>-$I$110&gt;SUM($I$107:$I$108)</formula>
    </cfRule>
  </conditionalFormatting>
  <conditionalFormatting sqref="H113">
    <cfRule type="expression" dxfId="23" priority="4">
      <formula>-$H$113&gt;SUM($H$111:$H$112)</formula>
    </cfRule>
  </conditionalFormatting>
  <conditionalFormatting sqref="J113">
    <cfRule type="expression" dxfId="22" priority="3">
      <formula>-$J$113&gt;SUM($J$111:$J$112)</formula>
    </cfRule>
  </conditionalFormatting>
  <conditionalFormatting sqref="G114">
    <cfRule type="expression" dxfId="21" priority="2">
      <formula>-$G$114&gt;SUM($G$111:$G$112)</formula>
    </cfRule>
  </conditionalFormatting>
  <conditionalFormatting sqref="I114">
    <cfRule type="expression" dxfId="20" priority="1">
      <formula>-$I$114&gt;SUM($I$111:$I$112)</formula>
    </cfRule>
  </conditionalFormatting>
  <dataValidations count="4">
    <dataValidation type="decimal" operator="greaterThanOrEqual" allowBlank="1" showInputMessage="1" showErrorMessage="1" error="Waarde groter of gelijk aan 0!" sqref="H35 H43 H45:H46 H49:H51 H58:H59 I74:J74 I72 I77:J80 I90:J90 I92:J92 I95:J98 H37:H40 G108:J108 G112:J112 I133:J134 I168:J169 J123:J125 I123:I124 I268:J268 I266:J266" xr:uid="{12B4E5FC-D8A0-4BEF-A450-FC58EF7467D2}">
      <formula1>0</formula1>
    </dataValidation>
    <dataValidation type="decimal" operator="greaterThanOrEqual" allowBlank="1" showInputMessage="1" showErrorMessage="1" error="Waarde hoger of gelijk aan 0!" sqref="H28" xr:uid="{FC6128CB-6FCC-415C-BD89-BAD4E933BAB1}">
      <formula1>0</formula1>
    </dataValidation>
    <dataValidation type="decimal" operator="lessThanOrEqual" allowBlank="1" showInputMessage="1" showErrorMessage="1" error="Waarde kleiner of gelijk aan 0!" sqref="H109 J109 G110 I110 H113 J113 G114 I114 I179:J179 I149:J149 I154:J155 I171:J172 I126:J126 I137:J147" xr:uid="{9160AAAF-4B5B-4AB1-8BD8-B8F87462B91D}">
      <formula1>0</formula1>
    </dataValidation>
    <dataValidation type="decimal" operator="greaterThanOrEqual" allowBlank="1" showInputMessage="1" showErrorMessage="1" sqref="H36 H47 H44 H41:H42 I76:J76 I94:J94 I220:J221 I132:J132 I128:J128 I218:J218" xr:uid="{B74D2630-61FE-4DF1-BFDF-A3E9B28BF71D}">
      <formula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O328"/>
  <sheetViews>
    <sheetView showZeros="0" topLeftCell="A312" workbookViewId="0">
      <selection activeCell="J172" sqref="J172"/>
    </sheetView>
  </sheetViews>
  <sheetFormatPr baseColWidth="10" defaultColWidth="9.1640625" defaultRowHeight="15" x14ac:dyDescent="0.2"/>
  <cols>
    <col min="1" max="1" width="3.6640625" style="1" customWidth="1"/>
    <col min="2" max="6" width="9.1640625" style="1"/>
    <col min="7" max="7" width="11.6640625" style="2" customWidth="1"/>
    <col min="8" max="10" width="11.6640625" style="1" customWidth="1"/>
    <col min="11" max="12" width="9.1640625" style="1"/>
    <col min="13" max="15" width="9.83203125" style="1" bestFit="1" customWidth="1"/>
    <col min="16" max="16384" width="9.1640625" style="1"/>
  </cols>
  <sheetData>
    <row r="7" spans="2:12" ht="16" thickBot="1" x14ac:dyDescent="0.25"/>
    <row r="8" spans="2:12" x14ac:dyDescent="0.2">
      <c r="B8" s="246" t="s">
        <v>0</v>
      </c>
      <c r="C8" s="247"/>
      <c r="D8" s="247"/>
      <c r="E8" s="247"/>
      <c r="F8" s="247"/>
      <c r="G8" s="49"/>
      <c r="H8" s="92" t="s">
        <v>1</v>
      </c>
      <c r="I8" s="92" t="s">
        <v>2</v>
      </c>
      <c r="J8" s="85" t="s">
        <v>3</v>
      </c>
    </row>
    <row r="9" spans="2:12" ht="16" thickBot="1" x14ac:dyDescent="0.25">
      <c r="B9" s="83"/>
      <c r="C9" s="52"/>
      <c r="D9" s="52"/>
      <c r="E9" s="52"/>
      <c r="F9" s="52"/>
      <c r="G9" s="84"/>
      <c r="H9" s="93" t="s">
        <v>227</v>
      </c>
      <c r="I9" s="93" t="s">
        <v>5</v>
      </c>
      <c r="J9" s="86" t="s">
        <v>5</v>
      </c>
    </row>
    <row r="10" spans="2:12" hidden="1" x14ac:dyDescent="0.2">
      <c r="B10" s="50"/>
      <c r="H10" s="7"/>
      <c r="I10" s="7"/>
      <c r="J10" s="87"/>
    </row>
    <row r="11" spans="2:12" x14ac:dyDescent="0.2">
      <c r="B11" s="50"/>
      <c r="G11" s="100" t="s">
        <v>6</v>
      </c>
      <c r="H11" s="4">
        <f>+Tot_Act_J0</f>
        <v>4000</v>
      </c>
      <c r="I11" s="4" t="e">
        <f>+Tot_Act_J1</f>
        <v>#REF!</v>
      </c>
      <c r="J11" s="88" t="e">
        <f>+Tot_Act_J2</f>
        <v>#REF!</v>
      </c>
    </row>
    <row r="12" spans="2:12" ht="16" thickBot="1" x14ac:dyDescent="0.25">
      <c r="B12" s="50"/>
      <c r="G12" s="100" t="s">
        <v>7</v>
      </c>
      <c r="H12" s="4">
        <f>Tot_Pas_J0</f>
        <v>4000</v>
      </c>
      <c r="I12" s="4" t="e">
        <f>Tot_Pas_J1</f>
        <v>#REF!</v>
      </c>
      <c r="J12" s="88" t="e">
        <f>Tot_Pas_J2</f>
        <v>#REF!</v>
      </c>
      <c r="L12" s="2"/>
    </row>
    <row r="13" spans="2:12" ht="16" hidden="1" thickBot="1" x14ac:dyDescent="0.25">
      <c r="B13" s="61"/>
      <c r="H13" s="94" t="str">
        <f>IF(Tot_Act_J0=Tot_Pas_J0,"OK","ERR")</f>
        <v>OK</v>
      </c>
      <c r="I13" s="94" t="e">
        <f>IF(Tot_Act_J1=Tot_Pas_J1,"OK","ERR")</f>
        <v>#REF!</v>
      </c>
      <c r="J13" s="89" t="e">
        <f>IF(Tot_Act_J2=Tot_Pas_J2,"OK","ERR")</f>
        <v>#REF!</v>
      </c>
    </row>
    <row r="14" spans="2:12" x14ac:dyDescent="0.2">
      <c r="B14" s="62"/>
      <c r="C14" s="48"/>
      <c r="D14" s="48"/>
      <c r="E14" s="48"/>
      <c r="F14" s="48"/>
      <c r="G14" s="63" t="s">
        <v>8</v>
      </c>
      <c r="H14" s="97"/>
      <c r="I14" s="95" t="e">
        <f>+I181</f>
        <v>#REF!</v>
      </c>
      <c r="J14" s="90" t="e">
        <f>+J181</f>
        <v>#REF!</v>
      </c>
    </row>
    <row r="15" spans="2:12" ht="16" thickBot="1" x14ac:dyDescent="0.25">
      <c r="B15" s="51"/>
      <c r="C15" s="52"/>
      <c r="D15" s="52"/>
      <c r="E15" s="52"/>
      <c r="F15" s="52"/>
      <c r="G15" s="64" t="s">
        <v>9</v>
      </c>
      <c r="H15" s="98"/>
      <c r="I15" s="96" t="e">
        <f>+I246</f>
        <v>#REF!</v>
      </c>
      <c r="J15" s="91" t="e">
        <f>+J246-I15</f>
        <v>#REF!</v>
      </c>
    </row>
    <row r="16" spans="2:12" x14ac:dyDescent="0.2">
      <c r="B16" s="61"/>
      <c r="G16" s="100" t="s">
        <v>10</v>
      </c>
      <c r="H16" s="99"/>
      <c r="I16" s="95" t="e">
        <f>+CashFlow_J1</f>
        <v>#REF!</v>
      </c>
      <c r="J16" s="90" t="e">
        <f>+J328</f>
        <v>#REF!</v>
      </c>
    </row>
    <row r="17" spans="2:10" ht="16" thickBot="1" x14ac:dyDescent="0.25">
      <c r="B17" s="51"/>
      <c r="C17" s="52"/>
      <c r="D17" s="52"/>
      <c r="E17" s="52"/>
      <c r="F17" s="52"/>
      <c r="G17" s="64" t="s">
        <v>11</v>
      </c>
      <c r="H17" s="98"/>
      <c r="I17" s="96" t="e">
        <f>+LiqMid_J1-LiqMid_J0</f>
        <v>#REF!</v>
      </c>
      <c r="J17" s="91" t="e">
        <f>+LiqMid_J2-LiqMid_J1</f>
        <v>#REF!</v>
      </c>
    </row>
    <row r="19" spans="2:10" x14ac:dyDescent="0.2">
      <c r="H19" s="3"/>
      <c r="I19" s="3"/>
      <c r="J19" s="3"/>
    </row>
    <row r="20" spans="2:10" x14ac:dyDescent="0.2">
      <c r="B20" s="248" t="s">
        <v>12</v>
      </c>
      <c r="C20" s="249"/>
      <c r="D20" s="249"/>
      <c r="E20" s="249"/>
      <c r="F20" s="249"/>
      <c r="G20" s="249"/>
      <c r="H20" s="249"/>
      <c r="I20" s="249"/>
      <c r="J20" s="250"/>
    </row>
    <row r="21" spans="2:10" x14ac:dyDescent="0.2">
      <c r="B21" s="251"/>
      <c r="C21" s="252"/>
      <c r="D21" s="252"/>
      <c r="E21" s="252"/>
      <c r="F21" s="252"/>
      <c r="G21" s="252"/>
      <c r="H21" s="252"/>
      <c r="I21" s="252"/>
      <c r="J21" s="253"/>
    </row>
    <row r="22" spans="2:10" x14ac:dyDescent="0.2">
      <c r="H22" s="3"/>
      <c r="I22" s="3"/>
      <c r="J22" s="3"/>
    </row>
    <row r="23" spans="2:10" x14ac:dyDescent="0.2">
      <c r="H23" s="3"/>
      <c r="I23" s="3"/>
      <c r="J23" s="3"/>
    </row>
    <row r="24" spans="2:10" x14ac:dyDescent="0.2">
      <c r="B24" s="216" t="s">
        <v>13</v>
      </c>
      <c r="C24" s="128" t="s">
        <v>14</v>
      </c>
      <c r="D24" s="128"/>
      <c r="E24" s="128"/>
      <c r="F24" s="128"/>
      <c r="G24" s="217"/>
      <c r="H24" s="218"/>
      <c r="I24" s="218"/>
      <c r="J24" s="219"/>
    </row>
    <row r="25" spans="2:10" x14ac:dyDescent="0.2">
      <c r="H25" s="3"/>
      <c r="I25" s="3"/>
      <c r="J25" s="3"/>
    </row>
    <row r="26" spans="2:10" x14ac:dyDescent="0.2">
      <c r="B26" s="129" t="s">
        <v>15</v>
      </c>
      <c r="C26" s="130"/>
      <c r="D26" s="131"/>
      <c r="E26" s="131"/>
      <c r="F26" s="131"/>
      <c r="G26" s="132"/>
      <c r="H26" s="133"/>
      <c r="I26" s="133"/>
      <c r="J26" s="134"/>
    </row>
    <row r="27" spans="2:10" x14ac:dyDescent="0.2">
      <c r="B27"/>
      <c r="H27" s="3"/>
      <c r="I27" s="3"/>
      <c r="J27" s="3"/>
    </row>
    <row r="28" spans="2:10" x14ac:dyDescent="0.2">
      <c r="B28" t="s">
        <v>16</v>
      </c>
      <c r="H28" s="41">
        <f>CP_Totaal_inbreng_Bkj1</f>
        <v>4000</v>
      </c>
    </row>
    <row r="29" spans="2:10" x14ac:dyDescent="0.2">
      <c r="B29" s="127" t="s">
        <v>17</v>
      </c>
      <c r="C29" s="127"/>
      <c r="D29" s="127"/>
      <c r="E29" s="127"/>
      <c r="F29" s="127"/>
      <c r="G29" s="220"/>
      <c r="H29" s="221">
        <f>+H28</f>
        <v>4000</v>
      </c>
    </row>
    <row r="30" spans="2:10" x14ac:dyDescent="0.2">
      <c r="B30"/>
      <c r="I30" s="2"/>
      <c r="J30" s="2"/>
    </row>
    <row r="31" spans="2:10" x14ac:dyDescent="0.2">
      <c r="B31"/>
      <c r="I31" s="2"/>
      <c r="J31" s="2"/>
    </row>
    <row r="32" spans="2:10" x14ac:dyDescent="0.2">
      <c r="B32" s="129" t="s">
        <v>18</v>
      </c>
      <c r="C32" s="130"/>
      <c r="D32" s="131"/>
      <c r="E32" s="131"/>
      <c r="F32" s="131"/>
      <c r="G32" s="132"/>
      <c r="H32" s="133"/>
      <c r="I32" s="133"/>
      <c r="J32" s="134"/>
    </row>
    <row r="33" spans="2:10" x14ac:dyDescent="0.2">
      <c r="B33"/>
      <c r="I33" s="2"/>
      <c r="J33" s="2"/>
    </row>
    <row r="34" spans="2:10" ht="16" thickBot="1" x14ac:dyDescent="0.25">
      <c r="B34" s="117" t="s">
        <v>19</v>
      </c>
      <c r="I34" s="2"/>
      <c r="J34" s="2"/>
    </row>
    <row r="35" spans="2:10" ht="17" thickTop="1" thickBot="1" x14ac:dyDescent="0.25">
      <c r="B35" s="111" t="s">
        <v>20</v>
      </c>
      <c r="H35" s="42"/>
      <c r="I35" s="2"/>
      <c r="J35" s="2"/>
    </row>
    <row r="36" spans="2:10" ht="17" thickTop="1" thickBot="1" x14ac:dyDescent="0.25">
      <c r="B36" s="111" t="s">
        <v>21</v>
      </c>
      <c r="H36" s="65">
        <v>0</v>
      </c>
      <c r="I36" s="2"/>
      <c r="J36" s="2"/>
    </row>
    <row r="37" spans="2:10" ht="17" thickTop="1" thickBot="1" x14ac:dyDescent="0.25">
      <c r="B37" s="53" t="s">
        <v>22</v>
      </c>
      <c r="H37" s="42">
        <v>0</v>
      </c>
      <c r="I37" s="2"/>
      <c r="J37" s="2"/>
    </row>
    <row r="38" spans="2:10" ht="17" thickTop="1" thickBot="1" x14ac:dyDescent="0.25">
      <c r="B38" s="53" t="s">
        <v>23</v>
      </c>
      <c r="H38" s="42"/>
      <c r="I38" s="2"/>
      <c r="J38" s="2"/>
    </row>
    <row r="39" spans="2:10" ht="17" thickTop="1" thickBot="1" x14ac:dyDescent="0.25">
      <c r="B39" s="53" t="s">
        <v>24</v>
      </c>
      <c r="H39" s="42"/>
      <c r="I39" s="2"/>
      <c r="J39" s="2"/>
    </row>
    <row r="40" spans="2:10" ht="17" thickTop="1" thickBot="1" x14ac:dyDescent="0.25">
      <c r="B40" s="53" t="s">
        <v>25</v>
      </c>
      <c r="H40" s="42"/>
      <c r="I40" s="2"/>
      <c r="J40" s="2"/>
    </row>
    <row r="41" spans="2:10" ht="16" thickTop="1" x14ac:dyDescent="0.2">
      <c r="B41" s="111"/>
      <c r="F41"/>
      <c r="H41" s="2"/>
      <c r="I41" s="2"/>
      <c r="J41" s="2"/>
    </row>
    <row r="42" spans="2:10" ht="16" thickBot="1" x14ac:dyDescent="0.25">
      <c r="B42" s="117" t="s">
        <v>26</v>
      </c>
      <c r="F42"/>
      <c r="H42" s="2"/>
      <c r="I42" s="2"/>
      <c r="J42" s="2"/>
    </row>
    <row r="43" spans="2:10" ht="17" thickTop="1" thickBot="1" x14ac:dyDescent="0.25">
      <c r="B43" s="111" t="s">
        <v>27</v>
      </c>
      <c r="H43" s="42"/>
      <c r="I43" s="2"/>
      <c r="J43" s="2"/>
    </row>
    <row r="44" spans="2:10" ht="17" thickTop="1" thickBot="1" x14ac:dyDescent="0.25">
      <c r="B44" s="111" t="s">
        <v>28</v>
      </c>
      <c r="H44" s="2"/>
      <c r="I44" s="2"/>
      <c r="J44" s="2"/>
    </row>
    <row r="45" spans="2:10" s="53" customFormat="1" ht="17" thickTop="1" thickBot="1" x14ac:dyDescent="0.25">
      <c r="B45" s="53" t="s">
        <v>29</v>
      </c>
      <c r="H45" s="42"/>
    </row>
    <row r="46" spans="2:10" ht="17" thickTop="1" thickBot="1" x14ac:dyDescent="0.25">
      <c r="B46" s="53" t="s">
        <v>30</v>
      </c>
      <c r="H46" s="42"/>
      <c r="I46" s="2"/>
      <c r="J46" s="2"/>
    </row>
    <row r="47" spans="2:10" ht="16" thickTop="1" x14ac:dyDescent="0.2">
      <c r="B47" s="111"/>
      <c r="H47" s="2"/>
      <c r="I47" s="2"/>
      <c r="J47" s="2"/>
    </row>
    <row r="48" spans="2:10" ht="16" thickBot="1" x14ac:dyDescent="0.25">
      <c r="B48" s="117" t="s">
        <v>31</v>
      </c>
      <c r="I48" s="2"/>
      <c r="J48" s="2"/>
    </row>
    <row r="49" spans="2:10" ht="17" thickTop="1" thickBot="1" x14ac:dyDescent="0.25">
      <c r="B49" s="111" t="s">
        <v>32</v>
      </c>
      <c r="H49" s="42"/>
      <c r="I49" s="2"/>
      <c r="J49" s="2"/>
    </row>
    <row r="50" spans="2:10" ht="17" thickTop="1" thickBot="1" x14ac:dyDescent="0.25">
      <c r="B50" s="111" t="s">
        <v>33</v>
      </c>
      <c r="D50"/>
      <c r="H50" s="42"/>
    </row>
    <row r="51" spans="2:10" ht="17" thickTop="1" thickBot="1" x14ac:dyDescent="0.25">
      <c r="B51" s="111" t="s">
        <v>34</v>
      </c>
      <c r="H51" s="42"/>
    </row>
    <row r="52" spans="2:10" ht="16" thickTop="1" x14ac:dyDescent="0.2">
      <c r="B52"/>
      <c r="I52" s="2"/>
      <c r="J52" s="2"/>
    </row>
    <row r="53" spans="2:10" x14ac:dyDescent="0.2">
      <c r="B53" s="127" t="s">
        <v>35</v>
      </c>
      <c r="C53" s="127"/>
      <c r="D53" s="127"/>
      <c r="E53" s="127"/>
      <c r="F53" s="127"/>
      <c r="G53" s="220"/>
      <c r="H53" s="221">
        <f>SUM(H35:H46)-SUM(H49:H51)</f>
        <v>0</v>
      </c>
      <c r="I53" s="2"/>
      <c r="J53" s="2"/>
    </row>
    <row r="54" spans="2:10" x14ac:dyDescent="0.2">
      <c r="I54" s="2"/>
      <c r="J54" s="2"/>
    </row>
    <row r="55" spans="2:10" x14ac:dyDescent="0.2">
      <c r="I55" s="2"/>
      <c r="J55" s="2"/>
    </row>
    <row r="56" spans="2:10" x14ac:dyDescent="0.2">
      <c r="B56" s="129" t="s">
        <v>36</v>
      </c>
      <c r="C56" s="130"/>
      <c r="D56" s="131"/>
      <c r="E56" s="131"/>
      <c r="F56" s="131"/>
      <c r="G56" s="132"/>
      <c r="H56" s="133"/>
      <c r="I56" s="133"/>
      <c r="J56" s="134"/>
    </row>
    <row r="57" spans="2:10" ht="16" thickBot="1" x14ac:dyDescent="0.25">
      <c r="I57" s="2"/>
      <c r="J57" s="2"/>
    </row>
    <row r="58" spans="2:10" ht="17" thickTop="1" thickBot="1" x14ac:dyDescent="0.25">
      <c r="B58" t="s">
        <v>37</v>
      </c>
      <c r="H58" s="58"/>
      <c r="I58" s="2"/>
      <c r="J58" s="2"/>
    </row>
    <row r="59" spans="2:10" ht="17" thickTop="1" thickBot="1" x14ac:dyDescent="0.25">
      <c r="B59" t="s">
        <v>38</v>
      </c>
      <c r="H59" s="42"/>
      <c r="I59" s="2"/>
      <c r="J59" s="2"/>
    </row>
    <row r="60" spans="2:10" ht="16" thickTop="1" x14ac:dyDescent="0.2">
      <c r="I60" s="2"/>
      <c r="J60" s="2"/>
    </row>
    <row r="61" spans="2:10" x14ac:dyDescent="0.2">
      <c r="B61" s="127" t="s">
        <v>39</v>
      </c>
      <c r="C61" s="127"/>
      <c r="D61" s="127"/>
      <c r="E61" s="127"/>
      <c r="F61" s="127"/>
      <c r="G61" s="220"/>
      <c r="H61" s="221">
        <f>+H58+H59</f>
        <v>0</v>
      </c>
      <c r="I61" s="2"/>
      <c r="J61" s="2"/>
    </row>
    <row r="62" spans="2:10" x14ac:dyDescent="0.2">
      <c r="I62" s="2"/>
      <c r="J62" s="2"/>
    </row>
    <row r="63" spans="2:10" x14ac:dyDescent="0.2">
      <c r="I63" s="2"/>
      <c r="J63" s="2"/>
    </row>
    <row r="64" spans="2:10" x14ac:dyDescent="0.2">
      <c r="B64" s="216" t="s">
        <v>40</v>
      </c>
      <c r="C64" s="128" t="s">
        <v>41</v>
      </c>
      <c r="D64" s="128"/>
      <c r="E64" s="128"/>
      <c r="F64" s="128"/>
      <c r="G64" s="217"/>
      <c r="H64" s="218"/>
      <c r="I64" s="218"/>
      <c r="J64" s="219"/>
    </row>
    <row r="65" spans="2:13" x14ac:dyDescent="0.2">
      <c r="B65" s="9"/>
      <c r="G65" s="1"/>
      <c r="J65" s="21"/>
    </row>
    <row r="66" spans="2:13" x14ac:dyDescent="0.2">
      <c r="B66" s="26" t="s">
        <v>42</v>
      </c>
      <c r="I66" s="2"/>
      <c r="J66" s="22"/>
    </row>
    <row r="67" spans="2:13" x14ac:dyDescent="0.2">
      <c r="B67" s="9"/>
      <c r="H67" s="254"/>
      <c r="I67" s="255"/>
      <c r="J67" s="256"/>
    </row>
    <row r="68" spans="2:13" x14ac:dyDescent="0.2">
      <c r="B68" s="9"/>
      <c r="H68" s="25" t="s">
        <v>43</v>
      </c>
      <c r="I68" s="257" t="s">
        <v>44</v>
      </c>
      <c r="J68" s="258"/>
    </row>
    <row r="69" spans="2:13" x14ac:dyDescent="0.2">
      <c r="B69" s="9"/>
      <c r="H69" s="28" t="s">
        <v>45</v>
      </c>
      <c r="I69" s="30" t="s">
        <v>46</v>
      </c>
      <c r="J69" s="25" t="s">
        <v>47</v>
      </c>
    </row>
    <row r="70" spans="2:13" x14ac:dyDescent="0.2">
      <c r="B70" s="9"/>
      <c r="H70" s="29" t="s">
        <v>48</v>
      </c>
      <c r="I70" s="31" t="s">
        <v>5</v>
      </c>
      <c r="J70" s="31" t="s">
        <v>5</v>
      </c>
    </row>
    <row r="71" spans="2:13" ht="5" customHeight="1" x14ac:dyDescent="0.2">
      <c r="B71" s="9"/>
      <c r="H71" s="6"/>
      <c r="I71" s="6"/>
      <c r="J71" s="6"/>
    </row>
    <row r="72" spans="2:13" x14ac:dyDescent="0.2">
      <c r="B72" s="26" t="s">
        <v>49</v>
      </c>
      <c r="H72" s="4"/>
      <c r="I72" s="43">
        <f>Investeringen!G5</f>
        <v>3700</v>
      </c>
      <c r="J72" s="4"/>
    </row>
    <row r="73" spans="2:13" ht="5" customHeight="1" x14ac:dyDescent="0.2">
      <c r="B73" s="9"/>
      <c r="H73" s="4"/>
      <c r="I73" s="4"/>
      <c r="J73" s="4"/>
    </row>
    <row r="74" spans="2:13" x14ac:dyDescent="0.2">
      <c r="B74" s="9" t="s">
        <v>50</v>
      </c>
      <c r="H74" s="4">
        <f>+Inbr_IVA</f>
        <v>0</v>
      </c>
      <c r="I74" s="43">
        <f>Investeringen!G14</f>
        <v>40250</v>
      </c>
      <c r="J74" s="43">
        <f>Investeringen!H14</f>
        <v>0</v>
      </c>
      <c r="M74" s="2"/>
    </row>
    <row r="75" spans="2:13" ht="5" customHeight="1" x14ac:dyDescent="0.2">
      <c r="B75" s="9"/>
      <c r="H75" s="4"/>
      <c r="I75" s="4"/>
      <c r="J75" s="4"/>
      <c r="M75" s="2"/>
    </row>
    <row r="76" spans="2:13" x14ac:dyDescent="0.2">
      <c r="B76" s="9" t="s">
        <v>51</v>
      </c>
      <c r="H76" s="4"/>
      <c r="I76" s="4"/>
      <c r="J76" s="4"/>
    </row>
    <row r="77" spans="2:13" x14ac:dyDescent="0.2">
      <c r="B77" s="106" t="s">
        <v>22</v>
      </c>
      <c r="H77" s="4">
        <v>0</v>
      </c>
      <c r="I77" s="43"/>
      <c r="J77" s="43"/>
    </row>
    <row r="78" spans="2:13" x14ac:dyDescent="0.2">
      <c r="B78" s="106" t="s">
        <v>23</v>
      </c>
      <c r="H78" s="4">
        <f>Inbr_InstalMachUitr</f>
        <v>0</v>
      </c>
      <c r="I78" s="43">
        <f>Investeringen!G30</f>
        <v>4000</v>
      </c>
      <c r="J78" s="43">
        <f>Investeringen!H30</f>
        <v>0</v>
      </c>
    </row>
    <row r="79" spans="2:13" x14ac:dyDescent="0.2">
      <c r="B79" s="106" t="s">
        <v>24</v>
      </c>
      <c r="H79" s="4">
        <f>Inbr_MeubRol</f>
        <v>0</v>
      </c>
      <c r="I79" s="43">
        <f>Investeringen!G46+Investeringen!G54</f>
        <v>4000</v>
      </c>
      <c r="J79" s="43">
        <f>Investeringen!H46+Investeringen!H54</f>
        <v>0</v>
      </c>
    </row>
    <row r="80" spans="2:13" x14ac:dyDescent="0.2">
      <c r="B80" s="106" t="s">
        <v>25</v>
      </c>
      <c r="H80" s="4">
        <f>Inbr_Leasing</f>
        <v>0</v>
      </c>
      <c r="I80" s="43"/>
      <c r="J80" s="43"/>
    </row>
    <row r="81" spans="2:13" ht="5" customHeight="1" x14ac:dyDescent="0.2">
      <c r="B81" s="9"/>
      <c r="H81" s="4"/>
      <c r="I81" s="4"/>
      <c r="J81" s="4"/>
      <c r="M81" s="2"/>
    </row>
    <row r="82" spans="2:13" x14ac:dyDescent="0.2">
      <c r="B82" s="123" t="s">
        <v>52</v>
      </c>
      <c r="C82" s="124"/>
      <c r="D82" s="222"/>
      <c r="E82" s="222"/>
      <c r="F82" s="222"/>
      <c r="G82" s="223"/>
      <c r="H82" s="224">
        <f>SUM(H72:H80)</f>
        <v>0</v>
      </c>
      <c r="I82" s="224">
        <f>SUM(I72:I80)</f>
        <v>51950</v>
      </c>
      <c r="J82" s="224">
        <f>SUM(J72:J80)</f>
        <v>0</v>
      </c>
    </row>
    <row r="83" spans="2:13" x14ac:dyDescent="0.2">
      <c r="B83" s="5"/>
      <c r="C83" s="5"/>
      <c r="D83" s="5"/>
      <c r="E83" s="5"/>
      <c r="F83" s="5"/>
      <c r="G83" s="5"/>
      <c r="H83" s="5"/>
      <c r="I83" s="5"/>
      <c r="J83" s="5"/>
    </row>
    <row r="84" spans="2:13" x14ac:dyDescent="0.2">
      <c r="H84" s="2"/>
      <c r="I84" s="2"/>
      <c r="J84" s="2"/>
    </row>
    <row r="85" spans="2:13" x14ac:dyDescent="0.2">
      <c r="B85" s="216" t="s">
        <v>53</v>
      </c>
      <c r="C85" s="128" t="s">
        <v>54</v>
      </c>
      <c r="D85" s="128"/>
      <c r="E85" s="128"/>
      <c r="F85" s="128"/>
      <c r="G85" s="217"/>
      <c r="H85" s="218"/>
      <c r="I85" s="218"/>
      <c r="J85" s="219"/>
    </row>
    <row r="86" spans="2:13" x14ac:dyDescent="0.2">
      <c r="B86" s="9"/>
      <c r="H86" s="2"/>
      <c r="I86" s="2"/>
      <c r="J86" s="22"/>
    </row>
    <row r="87" spans="2:13" x14ac:dyDescent="0.2">
      <c r="B87" s="9"/>
      <c r="H87" s="125"/>
      <c r="I87" s="30" t="s">
        <v>46</v>
      </c>
      <c r="J87" s="25" t="s">
        <v>47</v>
      </c>
    </row>
    <row r="88" spans="2:13" x14ac:dyDescent="0.2">
      <c r="B88" s="9"/>
      <c r="H88" s="125"/>
      <c r="I88" s="31" t="s">
        <v>5</v>
      </c>
      <c r="J88" s="31" t="s">
        <v>5</v>
      </c>
    </row>
    <row r="89" spans="2:13" ht="5" customHeight="1" x14ac:dyDescent="0.2">
      <c r="B89" s="9"/>
      <c r="H89" s="22"/>
      <c r="I89" s="4"/>
      <c r="J89" s="4"/>
    </row>
    <row r="90" spans="2:13" x14ac:dyDescent="0.2">
      <c r="B90" s="26" t="s">
        <v>49</v>
      </c>
      <c r="H90" s="126"/>
      <c r="I90" s="43">
        <f>Investeringen!C5</f>
        <v>3700</v>
      </c>
      <c r="J90" s="43"/>
    </row>
    <row r="91" spans="2:13" ht="5" customHeight="1" x14ac:dyDescent="0.2">
      <c r="B91" s="9"/>
      <c r="H91" s="22"/>
      <c r="I91" s="4"/>
      <c r="J91" s="4"/>
    </row>
    <row r="92" spans="2:13" x14ac:dyDescent="0.2">
      <c r="B92" s="9" t="s">
        <v>50</v>
      </c>
      <c r="H92" s="59"/>
      <c r="I92" s="43"/>
      <c r="J92" s="43"/>
    </row>
    <row r="93" spans="2:13" ht="5" customHeight="1" x14ac:dyDescent="0.2">
      <c r="B93" s="9"/>
      <c r="H93" s="22"/>
      <c r="I93" s="4"/>
      <c r="J93" s="4"/>
    </row>
    <row r="94" spans="2:13" x14ac:dyDescent="0.2">
      <c r="B94" s="9" t="s">
        <v>51</v>
      </c>
      <c r="H94" s="126"/>
      <c r="I94" s="7"/>
      <c r="J94" s="4"/>
    </row>
    <row r="95" spans="2:13" x14ac:dyDescent="0.2">
      <c r="B95" s="106" t="s">
        <v>22</v>
      </c>
      <c r="H95" s="126"/>
      <c r="I95" s="43">
        <v>0</v>
      </c>
      <c r="J95" s="43">
        <v>0</v>
      </c>
    </row>
    <row r="96" spans="2:13" x14ac:dyDescent="0.2">
      <c r="B96" s="106" t="s">
        <v>23</v>
      </c>
      <c r="H96" s="126"/>
      <c r="I96" s="43">
        <v>0</v>
      </c>
      <c r="J96" s="43">
        <f>+(Inv_IstalMachUitr_J1+Inv_IstalMachUitr_J2)*0.2</f>
        <v>800</v>
      </c>
    </row>
    <row r="97" spans="2:13" x14ac:dyDescent="0.2">
      <c r="B97" s="106" t="s">
        <v>24</v>
      </c>
      <c r="H97" s="126"/>
      <c r="I97" s="43">
        <f>+Inv_MeubRol_J1*0.2</f>
        <v>800</v>
      </c>
      <c r="J97" s="43">
        <f>+(Inv_MeubRol_J1+Inv_MeubRol_J2)*0.2</f>
        <v>800</v>
      </c>
    </row>
    <row r="98" spans="2:13" x14ac:dyDescent="0.2">
      <c r="B98" s="106" t="s">
        <v>25</v>
      </c>
      <c r="H98" s="126"/>
      <c r="I98" s="43"/>
      <c r="J98" s="43"/>
    </row>
    <row r="99" spans="2:13" ht="5" customHeight="1" x14ac:dyDescent="0.2">
      <c r="B99" s="9"/>
      <c r="H99" s="34"/>
      <c r="I99" s="4"/>
      <c r="J99" s="4"/>
      <c r="M99" s="2"/>
    </row>
    <row r="100" spans="2:13" x14ac:dyDescent="0.2">
      <c r="B100" s="123" t="s">
        <v>55</v>
      </c>
      <c r="C100" s="124"/>
      <c r="D100" s="222"/>
      <c r="E100" s="222"/>
      <c r="F100" s="222"/>
      <c r="G100" s="223"/>
      <c r="H100" s="223"/>
      <c r="I100" s="224">
        <f>SUM(I90:I98)</f>
        <v>4500</v>
      </c>
      <c r="J100" s="224">
        <f>SUM(J90:J98)</f>
        <v>1600</v>
      </c>
    </row>
    <row r="101" spans="2:13" x14ac:dyDescent="0.2">
      <c r="H101" s="2"/>
      <c r="I101" s="2"/>
      <c r="J101" s="2"/>
    </row>
    <row r="102" spans="2:13" x14ac:dyDescent="0.2">
      <c r="H102" s="2"/>
      <c r="I102" s="2"/>
      <c r="J102" s="2"/>
    </row>
    <row r="103" spans="2:13" x14ac:dyDescent="0.2">
      <c r="B103" s="216" t="s">
        <v>56</v>
      </c>
      <c r="C103" s="128" t="s">
        <v>57</v>
      </c>
      <c r="D103" s="128"/>
      <c r="E103" s="128"/>
      <c r="F103" s="128"/>
      <c r="G103" s="217"/>
      <c r="H103" s="218"/>
      <c r="I103" s="218"/>
      <c r="J103" s="219"/>
    </row>
    <row r="104" spans="2:13" x14ac:dyDescent="0.2">
      <c r="B104" s="9"/>
      <c r="H104" s="2"/>
      <c r="I104" s="2"/>
      <c r="J104" s="22"/>
    </row>
    <row r="105" spans="2:13" x14ac:dyDescent="0.2">
      <c r="B105" s="9"/>
      <c r="G105" s="259" t="s">
        <v>58</v>
      </c>
      <c r="H105" s="260"/>
      <c r="I105" s="261" t="s">
        <v>59</v>
      </c>
      <c r="J105" s="262"/>
    </row>
    <row r="106" spans="2:13" x14ac:dyDescent="0.2">
      <c r="B106" s="9"/>
      <c r="G106" s="33" t="s">
        <v>60</v>
      </c>
      <c r="H106" s="23" t="s">
        <v>61</v>
      </c>
      <c r="I106" s="102" t="s">
        <v>60</v>
      </c>
      <c r="J106" s="23" t="s">
        <v>61</v>
      </c>
    </row>
    <row r="107" spans="2:13" x14ac:dyDescent="0.2">
      <c r="B107" s="27" t="s">
        <v>62</v>
      </c>
      <c r="C107" s="117"/>
      <c r="D107" s="117"/>
      <c r="E107" s="117"/>
      <c r="F107" s="117"/>
      <c r="G107" s="101">
        <f>+Inbr_Lening_lang</f>
        <v>0</v>
      </c>
      <c r="H107" s="101">
        <f>Inbr_Lening_Kort</f>
        <v>0</v>
      </c>
      <c r="I107" s="101">
        <f>Fin_Bron_Lang</f>
        <v>0</v>
      </c>
      <c r="J107" s="101">
        <f>Fin_Bron_Kort</f>
        <v>0</v>
      </c>
    </row>
    <row r="108" spans="2:13" x14ac:dyDescent="0.2">
      <c r="B108" s="40" t="s">
        <v>63</v>
      </c>
      <c r="G108" s="43">
        <f>-Lening_Kort_Nieuw_J1</f>
        <v>0</v>
      </c>
      <c r="H108" s="43">
        <v>0</v>
      </c>
      <c r="I108" s="43"/>
      <c r="J108" s="43"/>
    </row>
    <row r="109" spans="2:13" x14ac:dyDescent="0.2">
      <c r="B109" s="40" t="s">
        <v>64</v>
      </c>
      <c r="G109" s="16"/>
      <c r="H109" s="43">
        <v>0</v>
      </c>
      <c r="I109" s="16"/>
      <c r="J109" s="43"/>
    </row>
    <row r="110" spans="2:13" x14ac:dyDescent="0.2">
      <c r="B110" s="40" t="s">
        <v>65</v>
      </c>
      <c r="G110" s="43">
        <v>0</v>
      </c>
      <c r="H110" s="16">
        <f>-G110</f>
        <v>0</v>
      </c>
      <c r="I110" s="43"/>
      <c r="J110" s="16">
        <f>-I110</f>
        <v>0</v>
      </c>
    </row>
    <row r="111" spans="2:13" x14ac:dyDescent="0.2">
      <c r="B111" s="27" t="s">
        <v>66</v>
      </c>
      <c r="C111" s="117"/>
      <c r="D111" s="117"/>
      <c r="E111" s="117"/>
      <c r="F111" s="117"/>
      <c r="G111" s="24">
        <f>SUM(G107:G110)</f>
        <v>0</v>
      </c>
      <c r="H111" s="24">
        <f t="shared" ref="H111:J111" si="0">SUM(H107:H110)</f>
        <v>0</v>
      </c>
      <c r="I111" s="24">
        <f t="shared" si="0"/>
        <v>0</v>
      </c>
      <c r="J111" s="24">
        <f t="shared" si="0"/>
        <v>0</v>
      </c>
    </row>
    <row r="112" spans="2:13" x14ac:dyDescent="0.2">
      <c r="B112" s="40" t="s">
        <v>67</v>
      </c>
      <c r="G112" s="70"/>
      <c r="H112" s="70"/>
      <c r="I112" s="70"/>
      <c r="J112" s="70"/>
    </row>
    <row r="113" spans="2:10" x14ac:dyDescent="0.2">
      <c r="B113" s="40" t="s">
        <v>68</v>
      </c>
      <c r="G113" s="16"/>
      <c r="H113" s="43">
        <v>0</v>
      </c>
      <c r="I113" s="16"/>
      <c r="J113" s="43"/>
    </row>
    <row r="114" spans="2:10" x14ac:dyDescent="0.2">
      <c r="B114" s="40" t="s">
        <v>65</v>
      </c>
      <c r="G114" s="43">
        <v>0</v>
      </c>
      <c r="H114" s="16">
        <f>-G114</f>
        <v>0</v>
      </c>
      <c r="I114" s="43"/>
      <c r="J114" s="55">
        <f>-I114</f>
        <v>0</v>
      </c>
    </row>
    <row r="115" spans="2:10" x14ac:dyDescent="0.2">
      <c r="B115" s="121" t="s">
        <v>69</v>
      </c>
      <c r="C115" s="122"/>
      <c r="D115" s="122"/>
      <c r="E115" s="122"/>
      <c r="F115" s="122"/>
      <c r="G115" s="24">
        <f>SUM(G111:G114)</f>
        <v>0</v>
      </c>
      <c r="H115" s="24">
        <f t="shared" ref="H115:J115" si="1">SUM(H111:H114)</f>
        <v>0</v>
      </c>
      <c r="I115" s="24">
        <f t="shared" si="1"/>
        <v>0</v>
      </c>
      <c r="J115" s="24">
        <f t="shared" si="1"/>
        <v>0</v>
      </c>
    </row>
    <row r="118" spans="2:10" x14ac:dyDescent="0.2">
      <c r="B118" s="216" t="s">
        <v>70</v>
      </c>
      <c r="C118" s="128" t="s">
        <v>71</v>
      </c>
      <c r="D118" s="128"/>
      <c r="E118" s="128"/>
      <c r="F118" s="128"/>
      <c r="G118" s="217"/>
      <c r="H118" s="218"/>
      <c r="I118" s="218"/>
      <c r="J118" s="219"/>
    </row>
    <row r="120" spans="2:10" x14ac:dyDescent="0.2">
      <c r="B120" s="263" t="s">
        <v>72</v>
      </c>
      <c r="C120" s="264"/>
      <c r="D120" s="264"/>
      <c r="E120" s="264"/>
      <c r="F120" s="264"/>
      <c r="G120" s="264"/>
      <c r="H120" s="265"/>
      <c r="I120" s="38" t="s">
        <v>73</v>
      </c>
      <c r="J120" s="32" t="s">
        <v>74</v>
      </c>
    </row>
    <row r="121" spans="2:10" x14ac:dyDescent="0.2">
      <c r="B121" s="266"/>
      <c r="C121" s="267"/>
      <c r="D121" s="267"/>
      <c r="E121" s="267"/>
      <c r="F121" s="267"/>
      <c r="G121" s="267"/>
      <c r="H121" s="268"/>
      <c r="I121" s="37" t="s">
        <v>5</v>
      </c>
      <c r="J121" s="37" t="s">
        <v>5</v>
      </c>
    </row>
    <row r="122" spans="2:10" ht="5" customHeight="1" x14ac:dyDescent="0.2">
      <c r="B122" s="9"/>
      <c r="H122" s="57"/>
      <c r="I122" s="67"/>
      <c r="J122" s="67"/>
    </row>
    <row r="123" spans="2:10" x14ac:dyDescent="0.2">
      <c r="B123" s="27" t="s">
        <v>75</v>
      </c>
      <c r="C123" s="117" t="s">
        <v>76</v>
      </c>
      <c r="D123" s="117"/>
      <c r="E123" s="117"/>
      <c r="F123" s="117"/>
      <c r="G123" s="118"/>
      <c r="H123" s="68"/>
      <c r="I123" s="103" t="e">
        <f>'Invulblad RR'!#REF!</f>
        <v>#REF!</v>
      </c>
      <c r="J123" s="103" t="e">
        <f>'Invulblad RR'!#REF!</f>
        <v>#REF!</v>
      </c>
    </row>
    <row r="124" spans="2:10" ht="5" customHeight="1" x14ac:dyDescent="0.2">
      <c r="B124" s="9"/>
      <c r="H124" s="57"/>
      <c r="I124" s="67"/>
      <c r="J124" s="67"/>
    </row>
    <row r="125" spans="2:10" x14ac:dyDescent="0.2">
      <c r="B125" s="27" t="s">
        <v>77</v>
      </c>
      <c r="C125" s="117" t="s">
        <v>78</v>
      </c>
      <c r="D125" s="117"/>
      <c r="E125" s="117"/>
      <c r="F125" s="117"/>
      <c r="G125" s="118"/>
      <c r="H125" s="68"/>
      <c r="I125" s="69">
        <f>SUM(I126:I128)</f>
        <v>0</v>
      </c>
      <c r="J125" s="69">
        <f>SUM(J126:J128)</f>
        <v>0</v>
      </c>
    </row>
    <row r="126" spans="2:10" x14ac:dyDescent="0.2">
      <c r="B126" s="9"/>
      <c r="C126" s="111" t="s">
        <v>79</v>
      </c>
      <c r="H126" s="66"/>
      <c r="I126" s="44"/>
      <c r="J126" s="44"/>
    </row>
    <row r="127" spans="2:10" x14ac:dyDescent="0.2">
      <c r="B127" s="9"/>
      <c r="C127" s="111" t="s">
        <v>80</v>
      </c>
      <c r="H127" s="57"/>
      <c r="I127" s="67">
        <f>-Inbr_Voorraad</f>
        <v>0</v>
      </c>
      <c r="J127" s="67">
        <f>-Eind_Voorraad_J1</f>
        <v>0</v>
      </c>
    </row>
    <row r="128" spans="2:10" x14ac:dyDescent="0.2">
      <c r="B128" s="9"/>
      <c r="C128" s="111" t="s">
        <v>81</v>
      </c>
      <c r="H128" s="57"/>
      <c r="I128" s="56"/>
      <c r="J128" s="56"/>
    </row>
    <row r="129" spans="2:14" x14ac:dyDescent="0.2">
      <c r="B129" s="9"/>
      <c r="H129" s="57"/>
      <c r="I129" s="67"/>
      <c r="J129" s="67"/>
    </row>
    <row r="130" spans="2:14" x14ac:dyDescent="0.2">
      <c r="B130" s="225" t="s">
        <v>82</v>
      </c>
      <c r="C130" s="226"/>
      <c r="D130" s="226"/>
      <c r="E130" s="226"/>
      <c r="F130" s="226"/>
      <c r="G130" s="227"/>
      <c r="H130" s="228"/>
      <c r="I130" s="229" t="e">
        <f>+I123+I125</f>
        <v>#REF!</v>
      </c>
      <c r="J130" s="229" t="e">
        <f>+J123+J125</f>
        <v>#REF!</v>
      </c>
    </row>
    <row r="131" spans="2:14" x14ac:dyDescent="0.2">
      <c r="B131" s="9"/>
      <c r="H131" s="22"/>
      <c r="I131" s="4"/>
      <c r="J131" s="4"/>
    </row>
    <row r="132" spans="2:14" x14ac:dyDescent="0.2">
      <c r="B132" s="9" t="s">
        <v>83</v>
      </c>
      <c r="C132" t="s">
        <v>84</v>
      </c>
      <c r="H132" s="22"/>
      <c r="I132" s="45">
        <f>+I133+I134</f>
        <v>0</v>
      </c>
      <c r="J132" s="45">
        <f>+J133+J134</f>
        <v>0</v>
      </c>
    </row>
    <row r="133" spans="2:14" x14ac:dyDescent="0.2">
      <c r="B133" s="9"/>
      <c r="C133" s="111" t="s">
        <v>85</v>
      </c>
      <c r="H133" s="22"/>
      <c r="I133" s="56"/>
      <c r="J133" s="56"/>
    </row>
    <row r="134" spans="2:14" x14ac:dyDescent="0.2">
      <c r="B134" s="9"/>
      <c r="C134" s="111" t="s">
        <v>86</v>
      </c>
      <c r="H134" s="22"/>
      <c r="I134" s="56"/>
      <c r="J134" s="56"/>
    </row>
    <row r="135" spans="2:14" x14ac:dyDescent="0.2">
      <c r="B135" s="9"/>
      <c r="H135" s="22"/>
      <c r="I135" s="4"/>
      <c r="J135" s="4"/>
    </row>
    <row r="136" spans="2:14" x14ac:dyDescent="0.2">
      <c r="B136" s="9" t="s">
        <v>87</v>
      </c>
      <c r="C136" s="1" t="s">
        <v>88</v>
      </c>
      <c r="H136" s="230"/>
      <c r="I136" s="54">
        <f>SUM(I137:I147)</f>
        <v>-37009</v>
      </c>
      <c r="J136" s="54">
        <f>SUM(J137:J147)</f>
        <v>-32356.440000000002</v>
      </c>
    </row>
    <row r="137" spans="2:14" ht="16" thickBot="1" x14ac:dyDescent="0.25">
      <c r="B137" s="9"/>
      <c r="C137" s="80" t="str">
        <f>Samenvatting!B10</f>
        <v>Diverse uitgaven klasse 610</v>
      </c>
      <c r="D137" s="71"/>
      <c r="E137" s="72"/>
      <c r="F137" s="72"/>
      <c r="G137" s="73"/>
      <c r="H137" s="35"/>
      <c r="I137" s="56">
        <f>Samenvatting!C10</f>
        <v>-21000</v>
      </c>
      <c r="J137" s="56">
        <f>Samenvatting!D10</f>
        <v>-18360</v>
      </c>
      <c r="L137" s="2"/>
      <c r="M137" s="2"/>
      <c r="N137" s="2"/>
    </row>
    <row r="138" spans="2:14" ht="16" thickBot="1" x14ac:dyDescent="0.25">
      <c r="B138" s="9"/>
      <c r="C138" s="81" t="str">
        <f>Samenvatting!B12</f>
        <v>Diverse uitgaven klasse 611</v>
      </c>
      <c r="D138" s="74"/>
      <c r="E138" s="75"/>
      <c r="F138" s="75"/>
      <c r="G138" s="76"/>
      <c r="H138" s="35"/>
      <c r="I138" s="56">
        <f>Samenvatting!C12</f>
        <v>-1554</v>
      </c>
      <c r="J138" s="56">
        <f>Samenvatting!D12</f>
        <v>-1358.64</v>
      </c>
    </row>
    <row r="139" spans="2:14" ht="16" thickBot="1" x14ac:dyDescent="0.25">
      <c r="B139" s="9"/>
      <c r="C139" s="81" t="str">
        <f>Samenvatting!B14</f>
        <v>Diverse uitgaven klasse 612</v>
      </c>
      <c r="D139" s="74"/>
      <c r="E139" s="75"/>
      <c r="F139" s="75"/>
      <c r="G139" s="76"/>
      <c r="H139" s="35"/>
      <c r="I139" s="56">
        <f>Samenvatting!C14</f>
        <v>-10815</v>
      </c>
      <c r="J139" s="56">
        <f>Samenvatting!D14</f>
        <v>-9455.4</v>
      </c>
    </row>
    <row r="140" spans="2:14" ht="16" thickBot="1" x14ac:dyDescent="0.25">
      <c r="B140" s="9"/>
      <c r="C140" s="81" t="str">
        <f>Samenvatting!B16</f>
        <v>Diverse uitgaven klasse 613</v>
      </c>
      <c r="D140" s="74"/>
      <c r="E140" s="75"/>
      <c r="F140" s="75"/>
      <c r="G140" s="76"/>
      <c r="H140" s="35"/>
      <c r="I140" s="56">
        <f>Samenvatting!C16</f>
        <v>-2706.6666666666665</v>
      </c>
      <c r="J140" s="56">
        <f>Samenvatting!D16</f>
        <v>-2366.4</v>
      </c>
    </row>
    <row r="141" spans="2:14" ht="16" thickBot="1" x14ac:dyDescent="0.25">
      <c r="B141" s="9"/>
      <c r="C141" s="81" t="str">
        <f>Samenvatting!B18</f>
        <v>Diverse uitgaven klasse 614</v>
      </c>
      <c r="D141" s="74"/>
      <c r="E141" s="75"/>
      <c r="F141" s="75"/>
      <c r="G141" s="76"/>
      <c r="H141" s="35"/>
      <c r="I141" s="56">
        <f>Samenvatting!C18</f>
        <v>0</v>
      </c>
      <c r="J141" s="56">
        <f>Samenvatting!D18</f>
        <v>0</v>
      </c>
    </row>
    <row r="142" spans="2:14" ht="16" thickBot="1" x14ac:dyDescent="0.25">
      <c r="B142" s="9"/>
      <c r="C142" s="81" t="str">
        <f>Samenvatting!B20</f>
        <v>Diverse uitgaven klasse 615</v>
      </c>
      <c r="D142" s="74"/>
      <c r="E142" s="75"/>
      <c r="F142" s="75"/>
      <c r="G142" s="76"/>
      <c r="H142" s="35"/>
      <c r="I142" s="56">
        <f>Samenvatting!C20</f>
        <v>-933.33333333333326</v>
      </c>
      <c r="J142" s="56">
        <f>Samenvatting!D20</f>
        <v>-816</v>
      </c>
    </row>
    <row r="143" spans="2:14" ht="16" thickBot="1" x14ac:dyDescent="0.25">
      <c r="B143" s="9"/>
      <c r="C143" s="81" t="str">
        <f>Samenvatting!B22</f>
        <v>Diverse uitgaven klasse 616</v>
      </c>
      <c r="D143" s="74"/>
      <c r="E143" s="75"/>
      <c r="F143" s="75"/>
      <c r="G143" s="76"/>
      <c r="H143" s="35"/>
      <c r="I143" s="56">
        <f>Samenvatting!C22</f>
        <v>0</v>
      </c>
      <c r="J143" s="56">
        <f>Samenvatting!D22</f>
        <v>0</v>
      </c>
    </row>
    <row r="144" spans="2:14" ht="16" thickBot="1" x14ac:dyDescent="0.25">
      <c r="B144" s="9"/>
      <c r="C144" s="81" t="str">
        <f>Samenvatting!B24</f>
        <v>Diverse uitgaven klasse 617</v>
      </c>
      <c r="D144" s="74"/>
      <c r="E144" s="75"/>
      <c r="F144" s="75"/>
      <c r="G144" s="76"/>
      <c r="H144" s="35"/>
      <c r="I144" s="56">
        <f>Samenvatting!C24</f>
        <v>0</v>
      </c>
      <c r="J144" s="56">
        <f>Samenvatting!D24</f>
        <v>0</v>
      </c>
    </row>
    <row r="145" spans="2:10" ht="16" thickBot="1" x14ac:dyDescent="0.25">
      <c r="B145" s="9"/>
      <c r="C145" s="82" t="s">
        <v>228</v>
      </c>
      <c r="D145" s="74"/>
      <c r="E145" s="75"/>
      <c r="F145" s="75"/>
      <c r="G145" s="76"/>
      <c r="H145" s="35"/>
      <c r="I145" s="56"/>
      <c r="J145" s="56"/>
    </row>
    <row r="146" spans="2:10" x14ac:dyDescent="0.2">
      <c r="B146" s="9"/>
      <c r="C146" s="82" t="s">
        <v>228</v>
      </c>
      <c r="D146" s="77"/>
      <c r="E146" s="78"/>
      <c r="F146" s="78"/>
      <c r="G146" s="79"/>
      <c r="H146" s="35"/>
      <c r="I146" s="56"/>
      <c r="J146" s="56"/>
    </row>
    <row r="147" spans="2:10" x14ac:dyDescent="0.2">
      <c r="B147" s="9"/>
      <c r="C147" s="111" t="s">
        <v>99</v>
      </c>
      <c r="E147" s="119"/>
      <c r="F147" s="119"/>
      <c r="G147" s="120"/>
      <c r="H147" s="35"/>
      <c r="I147" s="56">
        <f>Samenvatting!C28</f>
        <v>0</v>
      </c>
      <c r="J147" s="56">
        <f>Samenvatting!D28</f>
        <v>0</v>
      </c>
    </row>
    <row r="148" spans="2:10" x14ac:dyDescent="0.2">
      <c r="B148" s="9"/>
      <c r="D148" s="119"/>
      <c r="E148" s="119"/>
      <c r="F148" s="119"/>
      <c r="G148" s="120"/>
      <c r="H148" s="35"/>
      <c r="I148" s="10"/>
      <c r="J148" s="10"/>
    </row>
    <row r="149" spans="2:10" x14ac:dyDescent="0.2">
      <c r="B149" s="9" t="s">
        <v>100</v>
      </c>
      <c r="C149" s="1" t="s">
        <v>101</v>
      </c>
      <c r="H149" s="230"/>
      <c r="I149" s="103">
        <f>Samenvatting!C32</f>
        <v>-31827.25</v>
      </c>
      <c r="J149" s="103">
        <f>Samenvatting!D32</f>
        <v>-25027.47</v>
      </c>
    </row>
    <row r="150" spans="2:10" x14ac:dyDescent="0.2">
      <c r="B150" s="9"/>
      <c r="H150" s="22"/>
      <c r="I150" s="4"/>
      <c r="J150" s="4"/>
    </row>
    <row r="151" spans="2:10" x14ac:dyDescent="0.2">
      <c r="B151" s="9" t="s">
        <v>102</v>
      </c>
      <c r="C151" s="1" t="s">
        <v>103</v>
      </c>
      <c r="H151" s="230"/>
      <c r="I151" s="54">
        <f>-Afs_Tot_J1</f>
        <v>-4500</v>
      </c>
      <c r="J151" s="54">
        <f>-Afs_Tot_J2</f>
        <v>-1600</v>
      </c>
    </row>
    <row r="152" spans="2:10" x14ac:dyDescent="0.2">
      <c r="B152" s="9"/>
      <c r="H152" s="22"/>
      <c r="I152" s="4"/>
      <c r="J152" s="4"/>
    </row>
    <row r="153" spans="2:10" x14ac:dyDescent="0.2">
      <c r="B153" s="9" t="s">
        <v>104</v>
      </c>
      <c r="C153" s="1" t="s">
        <v>105</v>
      </c>
      <c r="H153" s="230"/>
      <c r="I153" s="54">
        <f>+I154+I155</f>
        <v>-637.5</v>
      </c>
      <c r="J153" s="54">
        <f>+J154+J155</f>
        <v>-637.5</v>
      </c>
    </row>
    <row r="154" spans="2:10" x14ac:dyDescent="0.2">
      <c r="B154" s="9"/>
      <c r="C154" s="111" t="s">
        <v>106</v>
      </c>
      <c r="H154" s="35"/>
      <c r="I154" s="56">
        <f>Samenvatting!C36</f>
        <v>-637.5</v>
      </c>
      <c r="J154" s="56">
        <f>Samenvatting!D36</f>
        <v>-637.5</v>
      </c>
    </row>
    <row r="155" spans="2:10" x14ac:dyDescent="0.2">
      <c r="B155" s="9"/>
      <c r="C155" s="111" t="s">
        <v>107</v>
      </c>
      <c r="H155" s="35"/>
      <c r="I155" s="56"/>
      <c r="J155" s="56"/>
    </row>
    <row r="156" spans="2:10" x14ac:dyDescent="0.2">
      <c r="B156" s="9"/>
      <c r="H156" s="22"/>
      <c r="I156" s="4"/>
      <c r="J156" s="4"/>
    </row>
    <row r="157" spans="2:10" s="11" customFormat="1" x14ac:dyDescent="0.2">
      <c r="B157" s="225" t="s">
        <v>108</v>
      </c>
      <c r="C157" s="226"/>
      <c r="D157" s="226"/>
      <c r="E157" s="226"/>
      <c r="F157" s="226"/>
      <c r="G157" s="227"/>
      <c r="H157" s="231"/>
      <c r="I157" s="232" t="e">
        <f>+I153+I132+I151+I149+I136+I130</f>
        <v>#REF!</v>
      </c>
      <c r="J157" s="232" t="e">
        <f>+J153+J132+J151+J149+J136+J130</f>
        <v>#REF!</v>
      </c>
    </row>
    <row r="158" spans="2:10" x14ac:dyDescent="0.2">
      <c r="B158" s="9"/>
      <c r="H158" s="22"/>
      <c r="I158" s="4"/>
      <c r="J158" s="4"/>
    </row>
    <row r="159" spans="2:10" x14ac:dyDescent="0.2">
      <c r="B159" s="225" t="s">
        <v>109</v>
      </c>
      <c r="C159" s="226"/>
      <c r="D159" s="226"/>
      <c r="E159" s="226"/>
      <c r="F159" s="226"/>
      <c r="G159" s="227"/>
      <c r="H159" s="231"/>
      <c r="I159" s="232" t="e">
        <f>+I157-I151</f>
        <v>#REF!</v>
      </c>
      <c r="J159" s="232" t="e">
        <f>+J157-J151</f>
        <v>#REF!</v>
      </c>
    </row>
    <row r="160" spans="2:10" x14ac:dyDescent="0.2">
      <c r="B160" s="9"/>
      <c r="H160" s="22"/>
      <c r="I160" s="4"/>
      <c r="J160" s="4"/>
    </row>
    <row r="161" spans="2:10" x14ac:dyDescent="0.2">
      <c r="B161" s="26" t="s">
        <v>110</v>
      </c>
      <c r="H161" s="36"/>
      <c r="I161" s="60" t="e">
        <f>IF(I123=0,"-",I159/I123)</f>
        <v>#REF!</v>
      </c>
      <c r="J161" s="60" t="e">
        <f>IF(J123=0,"-",J159/J123)</f>
        <v>#REF!</v>
      </c>
    </row>
    <row r="162" spans="2:10" x14ac:dyDescent="0.2">
      <c r="B162" s="12"/>
      <c r="C162" s="13"/>
      <c r="D162" s="13"/>
      <c r="E162" s="13"/>
      <c r="F162" s="13"/>
      <c r="G162" s="14"/>
      <c r="H162" s="34"/>
      <c r="I162" s="8"/>
      <c r="J162" s="8"/>
    </row>
    <row r="163" spans="2:10" x14ac:dyDescent="0.2">
      <c r="H163" s="2"/>
      <c r="I163" s="2"/>
      <c r="J163" s="2"/>
    </row>
    <row r="164" spans="2:10" x14ac:dyDescent="0.2">
      <c r="B164" s="263" t="s">
        <v>111</v>
      </c>
      <c r="C164" s="264"/>
      <c r="D164" s="264"/>
      <c r="E164" s="264"/>
      <c r="F164" s="264"/>
      <c r="G164" s="264"/>
      <c r="H164" s="265"/>
      <c r="I164" s="38" t="s">
        <v>73</v>
      </c>
      <c r="J164" s="32" t="s">
        <v>74</v>
      </c>
    </row>
    <row r="165" spans="2:10" x14ac:dyDescent="0.2">
      <c r="B165" s="266"/>
      <c r="C165" s="267"/>
      <c r="D165" s="267"/>
      <c r="E165" s="267"/>
      <c r="F165" s="267"/>
      <c r="G165" s="267"/>
      <c r="H165" s="268"/>
      <c r="I165" s="37" t="s">
        <v>5</v>
      </c>
      <c r="J165" s="37" t="s">
        <v>5</v>
      </c>
    </row>
    <row r="166" spans="2:10" x14ac:dyDescent="0.2">
      <c r="B166" s="9"/>
      <c r="H166" s="22"/>
      <c r="I166" s="4"/>
      <c r="J166" s="4"/>
    </row>
    <row r="167" spans="2:10" x14ac:dyDescent="0.2">
      <c r="B167" s="9" t="s">
        <v>75</v>
      </c>
      <c r="C167" s="117" t="s">
        <v>112</v>
      </c>
      <c r="D167" s="117"/>
      <c r="E167" s="117"/>
      <c r="F167" s="117"/>
      <c r="G167" s="118"/>
      <c r="H167" s="46"/>
      <c r="I167" s="39">
        <f>+I168+I169</f>
        <v>0</v>
      </c>
      <c r="J167" s="39">
        <f>+J168+J169</f>
        <v>0</v>
      </c>
    </row>
    <row r="168" spans="2:10" x14ac:dyDescent="0.2">
      <c r="B168" s="9"/>
      <c r="C168" s="111" t="s">
        <v>113</v>
      </c>
      <c r="H168" s="22"/>
      <c r="I168" s="56"/>
      <c r="J168" s="56"/>
    </row>
    <row r="169" spans="2:10" x14ac:dyDescent="0.2">
      <c r="B169" s="9"/>
      <c r="C169" s="111" t="s">
        <v>114</v>
      </c>
      <c r="H169" s="22"/>
      <c r="I169" s="56"/>
      <c r="J169" s="56"/>
    </row>
    <row r="170" spans="2:10" x14ac:dyDescent="0.2">
      <c r="B170" s="9" t="s">
        <v>77</v>
      </c>
      <c r="C170" s="117" t="s">
        <v>115</v>
      </c>
      <c r="D170" s="117"/>
      <c r="E170" s="117"/>
      <c r="F170" s="117"/>
      <c r="G170" s="118"/>
      <c r="H170" s="47"/>
      <c r="I170" s="39">
        <f>+I171+I172</f>
        <v>898.33333333333326</v>
      </c>
      <c r="J170" s="39">
        <f>+J171+J172</f>
        <v>707.4</v>
      </c>
    </row>
    <row r="171" spans="2:10" x14ac:dyDescent="0.2">
      <c r="B171" s="9"/>
      <c r="C171" s="111" t="s">
        <v>116</v>
      </c>
      <c r="H171" s="35"/>
      <c r="I171" s="56">
        <f>'Invulblad RR'!C104</f>
        <v>898.33333333333326</v>
      </c>
      <c r="J171" s="56">
        <f>'Invulblad RR'!D104</f>
        <v>707.4</v>
      </c>
    </row>
    <row r="172" spans="2:10" x14ac:dyDescent="0.2">
      <c r="B172" s="9"/>
      <c r="C172" s="111" t="s">
        <v>117</v>
      </c>
      <c r="H172" s="35"/>
      <c r="I172" s="56"/>
      <c r="J172" s="56"/>
    </row>
    <row r="173" spans="2:10" x14ac:dyDescent="0.2">
      <c r="B173" s="9"/>
      <c r="H173" s="21"/>
      <c r="I173" s="7"/>
      <c r="J173" s="7"/>
    </row>
    <row r="174" spans="2:10" x14ac:dyDescent="0.2">
      <c r="B174" s="225" t="s">
        <v>118</v>
      </c>
      <c r="C174" s="226"/>
      <c r="D174" s="226"/>
      <c r="E174" s="226"/>
      <c r="F174" s="226"/>
      <c r="G174" s="227"/>
      <c r="H174" s="231"/>
      <c r="I174" s="232" t="e">
        <f>+I170+I157+I167</f>
        <v>#REF!</v>
      </c>
      <c r="J174" s="232" t="e">
        <f>+J170+J157+J167</f>
        <v>#REF!</v>
      </c>
    </row>
    <row r="176" spans="2:10" x14ac:dyDescent="0.2">
      <c r="B176" s="263" t="s">
        <v>119</v>
      </c>
      <c r="C176" s="264"/>
      <c r="D176" s="264"/>
      <c r="E176" s="264"/>
      <c r="F176" s="264"/>
      <c r="G176" s="264"/>
      <c r="H176" s="265" t="str">
        <f>+H70</f>
        <v>aanvang</v>
      </c>
      <c r="I176" s="38" t="s">
        <v>73</v>
      </c>
      <c r="J176" s="32" t="s">
        <v>74</v>
      </c>
    </row>
    <row r="177" spans="2:12" x14ac:dyDescent="0.2">
      <c r="B177" s="266"/>
      <c r="C177" s="267"/>
      <c r="D177" s="267"/>
      <c r="E177" s="267"/>
      <c r="F177" s="267"/>
      <c r="G177" s="267"/>
      <c r="H177" s="268"/>
      <c r="I177" s="37" t="s">
        <v>5</v>
      </c>
      <c r="J177" s="37" t="s">
        <v>5</v>
      </c>
    </row>
    <row r="178" spans="2:12" x14ac:dyDescent="0.2">
      <c r="B178" s="9"/>
      <c r="H178" s="22"/>
      <c r="I178" s="4"/>
      <c r="J178" s="4"/>
    </row>
    <row r="179" spans="2:12" x14ac:dyDescent="0.2">
      <c r="B179" s="9" t="s">
        <v>120</v>
      </c>
      <c r="H179" s="35"/>
      <c r="I179" s="56" t="e">
        <f>IF(I174&lt;0,0,I174*0.25)</f>
        <v>#REF!</v>
      </c>
      <c r="J179" s="56" t="e">
        <f>IF(J174&lt;0,0,J174*0.25)</f>
        <v>#REF!</v>
      </c>
    </row>
    <row r="180" spans="2:12" x14ac:dyDescent="0.2">
      <c r="B180" s="9"/>
      <c r="H180" s="21"/>
      <c r="I180" s="7"/>
      <c r="J180" s="7"/>
    </row>
    <row r="181" spans="2:12" x14ac:dyDescent="0.2">
      <c r="B181" s="225" t="s">
        <v>121</v>
      </c>
      <c r="C181" s="226"/>
      <c r="D181" s="226"/>
      <c r="E181" s="226"/>
      <c r="F181" s="226"/>
      <c r="G181" s="227"/>
      <c r="H181" s="231"/>
      <c r="I181" s="232" t="e">
        <f>+I174+I179</f>
        <v>#REF!</v>
      </c>
      <c r="J181" s="232" t="e">
        <f>+J174+J179</f>
        <v>#REF!</v>
      </c>
    </row>
    <row r="184" spans="2:12" x14ac:dyDescent="0.2">
      <c r="B184" s="216" t="s">
        <v>122</v>
      </c>
      <c r="C184" s="128" t="s">
        <v>123</v>
      </c>
      <c r="D184" s="128"/>
      <c r="E184" s="128"/>
      <c r="F184" s="128"/>
      <c r="G184" s="217"/>
      <c r="H184" s="218"/>
      <c r="I184" s="218"/>
      <c r="J184" s="219"/>
    </row>
    <row r="186" spans="2:12" x14ac:dyDescent="0.2">
      <c r="B186" s="263" t="s">
        <v>124</v>
      </c>
      <c r="C186" s="264"/>
      <c r="D186" s="264"/>
      <c r="E186" s="264"/>
      <c r="F186" s="264"/>
      <c r="G186" s="264"/>
      <c r="H186" s="269" t="s">
        <v>48</v>
      </c>
      <c r="I186" s="32" t="s">
        <v>2</v>
      </c>
      <c r="J186" s="32" t="s">
        <v>3</v>
      </c>
    </row>
    <row r="187" spans="2:12" x14ac:dyDescent="0.2">
      <c r="B187" s="266"/>
      <c r="C187" s="267"/>
      <c r="D187" s="267"/>
      <c r="E187" s="267"/>
      <c r="F187" s="267"/>
      <c r="G187" s="267"/>
      <c r="H187" s="270"/>
      <c r="I187" s="37" t="s">
        <v>5</v>
      </c>
      <c r="J187" s="37" t="str">
        <f>+J70</f>
        <v>maanden</v>
      </c>
    </row>
    <row r="188" spans="2:12" x14ac:dyDescent="0.2">
      <c r="B188" s="9"/>
      <c r="H188" s="7"/>
      <c r="I188" s="7"/>
      <c r="J188" s="7"/>
    </row>
    <row r="189" spans="2:12" x14ac:dyDescent="0.2">
      <c r="B189" s="27" t="s">
        <v>125</v>
      </c>
      <c r="G189" s="113">
        <v>20</v>
      </c>
      <c r="H189" s="54">
        <f>SUM(H191:H192)</f>
        <v>0</v>
      </c>
      <c r="I189" s="54">
        <f t="shared" ref="I189:J189" si="2">SUM(I191:I192)</f>
        <v>0</v>
      </c>
      <c r="J189" s="54">
        <f t="shared" si="2"/>
        <v>0</v>
      </c>
    </row>
    <row r="190" spans="2:12" ht="5" customHeight="1" x14ac:dyDescent="0.2">
      <c r="B190" s="106"/>
      <c r="H190" s="16"/>
      <c r="I190" s="16"/>
      <c r="J190" s="16"/>
    </row>
    <row r="191" spans="2:12" x14ac:dyDescent="0.2">
      <c r="B191" s="106" t="s">
        <v>126</v>
      </c>
      <c r="H191" s="16">
        <v>0</v>
      </c>
      <c r="I191" s="16">
        <f>+Inv_OK_J1</f>
        <v>3700</v>
      </c>
      <c r="J191" s="16">
        <f>+Inv_OK_J1</f>
        <v>3700</v>
      </c>
    </row>
    <row r="192" spans="2:12" x14ac:dyDescent="0.2">
      <c r="B192" s="106" t="s">
        <v>127</v>
      </c>
      <c r="H192" s="16">
        <v>0</v>
      </c>
      <c r="I192" s="16">
        <f>-Afs_OK_J1</f>
        <v>-3700</v>
      </c>
      <c r="J192" s="16">
        <f>-Afs_OK_J1-Afs_OK_J2</f>
        <v>-3700</v>
      </c>
      <c r="L192" s="2"/>
    </row>
    <row r="193" spans="2:10" x14ac:dyDescent="0.2">
      <c r="B193" s="9"/>
      <c r="H193" s="7"/>
      <c r="I193" s="7"/>
      <c r="J193" s="7"/>
    </row>
    <row r="194" spans="2:10" x14ac:dyDescent="0.2">
      <c r="B194" s="27" t="s">
        <v>128</v>
      </c>
      <c r="C194" s="117"/>
      <c r="D194" s="117"/>
      <c r="E194" s="117"/>
      <c r="F194" s="117"/>
      <c r="G194" s="114" t="s">
        <v>129</v>
      </c>
      <c r="H194" s="54">
        <f>SUM(H196:H211)</f>
        <v>0</v>
      </c>
      <c r="I194" s="54">
        <f t="shared" ref="I194:J194" si="3">SUM(I196:I211)</f>
        <v>47450</v>
      </c>
      <c r="J194" s="54">
        <f t="shared" si="3"/>
        <v>45850</v>
      </c>
    </row>
    <row r="195" spans="2:10" ht="5" customHeight="1" x14ac:dyDescent="0.2">
      <c r="B195" s="106"/>
      <c r="H195" s="16"/>
      <c r="I195" s="16"/>
      <c r="J195" s="16"/>
    </row>
    <row r="196" spans="2:10" x14ac:dyDescent="0.2">
      <c r="B196" s="106" t="s">
        <v>130</v>
      </c>
      <c r="G196" s="245">
        <v>21</v>
      </c>
      <c r="H196" s="16">
        <f>+Inbr_IVA</f>
        <v>0</v>
      </c>
      <c r="I196" s="16">
        <f>+Inbr_IVA+Inv_IVA_J1</f>
        <v>40250</v>
      </c>
      <c r="J196" s="16">
        <f>+Inbr_IVA+Inv_IVA_J1+Inv_IVA_J2</f>
        <v>40250</v>
      </c>
    </row>
    <row r="197" spans="2:10" x14ac:dyDescent="0.2">
      <c r="B197" s="106" t="s">
        <v>131</v>
      </c>
      <c r="G197" s="245"/>
      <c r="H197" s="16">
        <v>0</v>
      </c>
      <c r="I197" s="16">
        <f>-Afs_IVA_J1</f>
        <v>0</v>
      </c>
      <c r="J197" s="16">
        <f>-Afs_IVA_J1-Afs_IVA_J2</f>
        <v>0</v>
      </c>
    </row>
    <row r="198" spans="2:10" ht="5" customHeight="1" x14ac:dyDescent="0.2">
      <c r="B198" s="106"/>
      <c r="H198" s="16"/>
      <c r="I198" s="16"/>
      <c r="J198" s="16"/>
    </row>
    <row r="199" spans="2:10" x14ac:dyDescent="0.2">
      <c r="B199" s="106" t="s">
        <v>21</v>
      </c>
      <c r="H199" s="16"/>
      <c r="I199" s="16"/>
      <c r="J199" s="16"/>
    </row>
    <row r="200" spans="2:10" x14ac:dyDescent="0.2">
      <c r="B200" s="107" t="s">
        <v>132</v>
      </c>
      <c r="G200" s="245">
        <v>22</v>
      </c>
      <c r="H200" s="16">
        <f>+Inbr_TerGeb</f>
        <v>0</v>
      </c>
      <c r="I200" s="16">
        <f>+Inbr_TerGeb+Inv_TerGeb_J1</f>
        <v>0</v>
      </c>
      <c r="J200" s="16">
        <f>+Inbr_TerGeb+Inv_TerGeb_J1+Inv_TerGeb_J2</f>
        <v>0</v>
      </c>
    </row>
    <row r="201" spans="2:10" x14ac:dyDescent="0.2">
      <c r="B201" s="107" t="s">
        <v>133</v>
      </c>
      <c r="G201" s="245"/>
      <c r="H201" s="16">
        <v>0</v>
      </c>
      <c r="I201" s="16">
        <f>-Afs_TerGeb_J1</f>
        <v>0</v>
      </c>
      <c r="J201" s="16">
        <f>-Afs_TerGeb_J1-Afs_TerGeb_J2</f>
        <v>0</v>
      </c>
    </row>
    <row r="202" spans="2:10" x14ac:dyDescent="0.2">
      <c r="B202" s="107" t="s">
        <v>134</v>
      </c>
      <c r="G202" s="245">
        <v>23</v>
      </c>
      <c r="H202" s="16">
        <f>+Inbr_InstalMachUitr</f>
        <v>0</v>
      </c>
      <c r="I202" s="16">
        <f>+Inbr_InstalMachUitr+Inv_IstalMachUitr_J1</f>
        <v>4000</v>
      </c>
      <c r="J202" s="16">
        <f>+Inbr_InstalMachUitr+Inv_IstalMachUitr_J1+Inv_IstalMachUitr_J2</f>
        <v>4000</v>
      </c>
    </row>
    <row r="203" spans="2:10" x14ac:dyDescent="0.2">
      <c r="B203" s="107" t="s">
        <v>135</v>
      </c>
      <c r="G203" s="245"/>
      <c r="H203" s="16">
        <v>0</v>
      </c>
      <c r="I203" s="16">
        <f>-Afs_InstalMachUitr_J1</f>
        <v>0</v>
      </c>
      <c r="J203" s="16">
        <f>-Afs_InstalMachUitr_J1-Afs_InstaMachUitr_J2</f>
        <v>-800</v>
      </c>
    </row>
    <row r="204" spans="2:10" x14ac:dyDescent="0.2">
      <c r="B204" s="107" t="s">
        <v>136</v>
      </c>
      <c r="G204" s="245">
        <v>24</v>
      </c>
      <c r="H204" s="16">
        <f>+Inbr_MeubRol</f>
        <v>0</v>
      </c>
      <c r="I204" s="16">
        <f>+Inbr_MeubRol+Inv_MeubRol_J1</f>
        <v>4000</v>
      </c>
      <c r="J204" s="16">
        <f>+Inbr_MeubRol+Inv_MeubRol_J1+Inv_MeubRol_J2</f>
        <v>4000</v>
      </c>
    </row>
    <row r="205" spans="2:10" x14ac:dyDescent="0.2">
      <c r="B205" s="107" t="s">
        <v>137</v>
      </c>
      <c r="G205" s="245"/>
      <c r="H205" s="16">
        <v>0</v>
      </c>
      <c r="I205" s="16">
        <f>-Afs_MeubRol_J1</f>
        <v>-800</v>
      </c>
      <c r="J205" s="16">
        <f>-Afs_MeubRol_J1-Afs_MeubRol_J2</f>
        <v>-1600</v>
      </c>
    </row>
    <row r="206" spans="2:10" x14ac:dyDescent="0.2">
      <c r="B206" s="107" t="s">
        <v>138</v>
      </c>
      <c r="G206" s="245">
        <v>25</v>
      </c>
      <c r="H206" s="16">
        <f>+Inbr_Leasing</f>
        <v>0</v>
      </c>
      <c r="I206" s="16">
        <f>++Inbr_Leasing+Inv_Leasing_J1</f>
        <v>0</v>
      </c>
      <c r="J206" s="16">
        <f>+Inbr_Leasing+Inv_Leasing_J1+Inv_Leasing_J2</f>
        <v>0</v>
      </c>
    </row>
    <row r="207" spans="2:10" x14ac:dyDescent="0.2">
      <c r="B207" s="107" t="s">
        <v>139</v>
      </c>
      <c r="G207" s="245"/>
      <c r="H207" s="16">
        <v>0</v>
      </c>
      <c r="I207" s="16">
        <f>-Afs_Leasing_J1</f>
        <v>0</v>
      </c>
      <c r="J207" s="16">
        <f>-Afs_Leasing_J1-Afs_Leasing_J2</f>
        <v>0</v>
      </c>
    </row>
    <row r="208" spans="2:10" x14ac:dyDescent="0.2">
      <c r="B208" s="112" t="s">
        <v>140</v>
      </c>
      <c r="G208" s="115">
        <v>26</v>
      </c>
      <c r="H208" s="16">
        <v>0</v>
      </c>
      <c r="I208" s="16">
        <v>0</v>
      </c>
      <c r="J208" s="16">
        <v>0</v>
      </c>
    </row>
    <row r="209" spans="2:10" x14ac:dyDescent="0.2">
      <c r="B209" s="112" t="s">
        <v>141</v>
      </c>
      <c r="G209" s="115">
        <v>27</v>
      </c>
      <c r="H209" s="16">
        <v>0</v>
      </c>
      <c r="I209" s="16">
        <v>0</v>
      </c>
      <c r="J209" s="16">
        <v>0</v>
      </c>
    </row>
    <row r="210" spans="2:10" ht="5" customHeight="1" x14ac:dyDescent="0.2">
      <c r="B210" s="112"/>
      <c r="H210" s="16"/>
      <c r="I210" s="16"/>
      <c r="J210" s="16"/>
    </row>
    <row r="211" spans="2:10" x14ac:dyDescent="0.2">
      <c r="B211" s="109" t="s">
        <v>142</v>
      </c>
      <c r="G211" s="115">
        <v>28</v>
      </c>
      <c r="H211" s="16">
        <v>0</v>
      </c>
      <c r="I211" s="16">
        <v>0</v>
      </c>
      <c r="J211" s="16">
        <v>0</v>
      </c>
    </row>
    <row r="212" spans="2:10" x14ac:dyDescent="0.2">
      <c r="B212" s="9"/>
      <c r="H212" s="16"/>
      <c r="I212" s="16"/>
      <c r="J212" s="16"/>
    </row>
    <row r="213" spans="2:10" x14ac:dyDescent="0.2">
      <c r="B213" s="27" t="s">
        <v>143</v>
      </c>
      <c r="C213"/>
      <c r="D213"/>
      <c r="E213"/>
      <c r="F213"/>
      <c r="G213" s="116" t="s">
        <v>144</v>
      </c>
      <c r="H213" s="54">
        <f>SUM(H215:H227)</f>
        <v>4000</v>
      </c>
      <c r="I213" s="54" t="e">
        <f t="shared" ref="I213:J213" si="4">SUM(I215:I227)</f>
        <v>#REF!</v>
      </c>
      <c r="J213" s="54" t="e">
        <f t="shared" si="4"/>
        <v>#REF!</v>
      </c>
    </row>
    <row r="214" spans="2:10" ht="5" customHeight="1" x14ac:dyDescent="0.2">
      <c r="B214" s="106"/>
      <c r="H214" s="16"/>
      <c r="I214" s="16"/>
      <c r="J214" s="16"/>
    </row>
    <row r="215" spans="2:10" x14ac:dyDescent="0.2">
      <c r="B215" s="109" t="s">
        <v>145</v>
      </c>
      <c r="G215" s="115">
        <v>29</v>
      </c>
      <c r="H215" s="16"/>
      <c r="I215" s="16"/>
      <c r="J215" s="16"/>
    </row>
    <row r="216" spans="2:10" ht="5" customHeight="1" x14ac:dyDescent="0.2">
      <c r="B216" s="112"/>
      <c r="H216" s="16"/>
      <c r="I216" s="16"/>
      <c r="J216" s="16"/>
    </row>
    <row r="217" spans="2:10" x14ac:dyDescent="0.2">
      <c r="B217" s="106" t="s">
        <v>27</v>
      </c>
      <c r="G217" s="105" t="s">
        <v>146</v>
      </c>
      <c r="H217" s="55">
        <f>+Inbr_Voorraad</f>
        <v>0</v>
      </c>
      <c r="I217" s="16">
        <f>+Eind_Voorraad_J1</f>
        <v>0</v>
      </c>
      <c r="J217" s="16">
        <f>+Eind_Voorraad_J2</f>
        <v>0</v>
      </c>
    </row>
    <row r="218" spans="2:10" ht="5" customHeight="1" x14ac:dyDescent="0.2">
      <c r="B218" s="112"/>
      <c r="H218" s="16"/>
      <c r="I218" s="16"/>
      <c r="J218" s="16"/>
    </row>
    <row r="219" spans="2:10" x14ac:dyDescent="0.2">
      <c r="B219" s="106" t="s">
        <v>28</v>
      </c>
      <c r="G219" s="105" t="s">
        <v>147</v>
      </c>
      <c r="H219" s="54"/>
      <c r="I219" s="54"/>
      <c r="J219" s="54"/>
    </row>
    <row r="220" spans="2:10" x14ac:dyDescent="0.2">
      <c r="B220" s="107" t="s">
        <v>148</v>
      </c>
      <c r="G220" s="115">
        <v>40</v>
      </c>
      <c r="H220" s="16">
        <f>+Inbr_Klanten</f>
        <v>0</v>
      </c>
      <c r="I220" s="43">
        <v>0</v>
      </c>
      <c r="J220" s="43">
        <v>0</v>
      </c>
    </row>
    <row r="221" spans="2:10" x14ac:dyDescent="0.2">
      <c r="B221" s="107" t="s">
        <v>30</v>
      </c>
      <c r="G221" s="115">
        <v>41</v>
      </c>
      <c r="H221" s="16">
        <f>+Inbr_Overige_Vord</f>
        <v>0</v>
      </c>
      <c r="I221" s="43"/>
      <c r="J221" s="43"/>
    </row>
    <row r="222" spans="2:10" ht="5" customHeight="1" x14ac:dyDescent="0.2">
      <c r="B222" s="112"/>
      <c r="H222" s="16"/>
      <c r="I222" s="16"/>
      <c r="J222" s="16"/>
    </row>
    <row r="223" spans="2:10" x14ac:dyDescent="0.2">
      <c r="B223" s="109" t="s">
        <v>149</v>
      </c>
      <c r="G223" s="105" t="s">
        <v>150</v>
      </c>
      <c r="H223" s="55">
        <v>0</v>
      </c>
      <c r="I223" s="55">
        <v>0</v>
      </c>
      <c r="J223" s="55">
        <v>0</v>
      </c>
    </row>
    <row r="224" spans="2:10" ht="5" customHeight="1" x14ac:dyDescent="0.2">
      <c r="B224" s="112"/>
      <c r="H224" s="16"/>
      <c r="I224" s="16"/>
      <c r="J224" s="16"/>
    </row>
    <row r="225" spans="2:15" x14ac:dyDescent="0.2">
      <c r="B225" s="106" t="s">
        <v>151</v>
      </c>
      <c r="C225" s="117"/>
      <c r="D225" s="117"/>
      <c r="E225" s="117"/>
      <c r="F225" s="117"/>
      <c r="G225" s="105" t="s">
        <v>152</v>
      </c>
      <c r="H225" s="16">
        <f>+Inbr_Geld+Fin_Bron_Lang+Fin_Bron_Kort</f>
        <v>4000</v>
      </c>
      <c r="I225" s="16" t="e">
        <f>+LiqMid_J0+CashFlow_J1</f>
        <v>#REF!</v>
      </c>
      <c r="J225" s="16" t="e">
        <f>+LiqMid_J1+CashFlow_J2</f>
        <v>#REF!</v>
      </c>
    </row>
    <row r="226" spans="2:15" ht="5" customHeight="1" x14ac:dyDescent="0.2">
      <c r="B226" s="112"/>
      <c r="H226" s="16"/>
      <c r="I226" s="16"/>
      <c r="J226" s="16"/>
    </row>
    <row r="227" spans="2:15" x14ac:dyDescent="0.2">
      <c r="B227" s="109" t="s">
        <v>153</v>
      </c>
      <c r="G227" s="105" t="s">
        <v>154</v>
      </c>
      <c r="H227" s="16">
        <v>0</v>
      </c>
      <c r="I227" s="16">
        <v>0</v>
      </c>
      <c r="J227" s="16">
        <v>0</v>
      </c>
    </row>
    <row r="228" spans="2:15" x14ac:dyDescent="0.2">
      <c r="B228" s="9"/>
      <c r="H228" s="16"/>
      <c r="I228" s="16"/>
      <c r="J228" s="16"/>
    </row>
    <row r="229" spans="2:15" x14ac:dyDescent="0.2">
      <c r="B229" s="225" t="s">
        <v>155</v>
      </c>
      <c r="C229" s="226"/>
      <c r="D229" s="226"/>
      <c r="E229" s="226"/>
      <c r="F229" s="226"/>
      <c r="G229" s="227"/>
      <c r="H229" s="232">
        <f>+H213+H194+H189</f>
        <v>4000</v>
      </c>
      <c r="I229" s="232" t="e">
        <f t="shared" ref="I229:J229" si="5">+I213+I194+I189</f>
        <v>#REF!</v>
      </c>
      <c r="J229" s="232" t="e">
        <f t="shared" si="5"/>
        <v>#REF!</v>
      </c>
      <c r="M229" s="2"/>
      <c r="N229" s="2"/>
      <c r="O229" s="2"/>
    </row>
    <row r="231" spans="2:15" x14ac:dyDescent="0.2">
      <c r="B231" s="263" t="s">
        <v>156</v>
      </c>
      <c r="C231" s="264"/>
      <c r="D231" s="264"/>
      <c r="E231" s="264"/>
      <c r="F231" s="264"/>
      <c r="G231" s="264"/>
      <c r="H231" s="269" t="str">
        <f>+H70</f>
        <v>aanvang</v>
      </c>
      <c r="I231" s="32" t="s">
        <v>2</v>
      </c>
      <c r="J231" s="32" t="s">
        <v>3</v>
      </c>
    </row>
    <row r="232" spans="2:15" x14ac:dyDescent="0.2">
      <c r="B232" s="266"/>
      <c r="C232" s="267"/>
      <c r="D232" s="267"/>
      <c r="E232" s="267"/>
      <c r="F232" s="267"/>
      <c r="G232" s="267"/>
      <c r="H232" s="270"/>
      <c r="I232" s="37" t="s">
        <v>5</v>
      </c>
      <c r="J232" s="37" t="s">
        <v>5</v>
      </c>
    </row>
    <row r="233" spans="2:15" x14ac:dyDescent="0.2">
      <c r="B233" s="9"/>
      <c r="H233" s="7"/>
      <c r="I233" s="7"/>
      <c r="J233" s="7"/>
    </row>
    <row r="234" spans="2:15" x14ac:dyDescent="0.2">
      <c r="B234" s="27" t="s">
        <v>157</v>
      </c>
      <c r="C234" s="117"/>
      <c r="D234" s="117"/>
      <c r="E234" s="117"/>
      <c r="F234" s="117"/>
      <c r="G234" s="105" t="s">
        <v>158</v>
      </c>
      <c r="H234" s="45">
        <f>SUM(H237:H249)</f>
        <v>4000</v>
      </c>
      <c r="I234" s="45" t="e">
        <f>SUM(I237:I249)</f>
        <v>#REF!</v>
      </c>
      <c r="J234" s="45" t="e">
        <f>SUM(J237:J249)</f>
        <v>#REF!</v>
      </c>
    </row>
    <row r="235" spans="2:15" ht="5" customHeight="1" x14ac:dyDescent="0.2">
      <c r="B235" s="27"/>
      <c r="C235" s="117"/>
      <c r="D235" s="117"/>
      <c r="E235" s="117"/>
      <c r="F235" s="117"/>
      <c r="G235" s="118"/>
      <c r="H235" s="45"/>
      <c r="I235" s="45"/>
      <c r="J235" s="45"/>
    </row>
    <row r="236" spans="2:15" x14ac:dyDescent="0.2">
      <c r="B236" s="106" t="s">
        <v>159</v>
      </c>
      <c r="G236" s="105" t="s">
        <v>160</v>
      </c>
      <c r="H236" s="4"/>
      <c r="I236" s="4"/>
      <c r="J236" s="4"/>
    </row>
    <row r="237" spans="2:15" x14ac:dyDescent="0.2">
      <c r="B237" s="107" t="s">
        <v>161</v>
      </c>
      <c r="G237" s="108"/>
      <c r="H237" s="4">
        <f>+Inbr_Geld</f>
        <v>4000</v>
      </c>
      <c r="I237" s="4">
        <f>+Inbr_Geld</f>
        <v>4000</v>
      </c>
      <c r="J237" s="4">
        <f>+Inbr_Geld</f>
        <v>4000</v>
      </c>
    </row>
    <row r="238" spans="2:15" x14ac:dyDescent="0.2">
      <c r="B238" s="107" t="s">
        <v>162</v>
      </c>
      <c r="G238" s="108"/>
      <c r="H238" s="4">
        <f>+Inbr_Natura_Netto</f>
        <v>0</v>
      </c>
      <c r="I238" s="4">
        <f>+Inbr_Natura_Netto</f>
        <v>0</v>
      </c>
      <c r="J238" s="4">
        <f>+Inbr_Natura_Netto</f>
        <v>0</v>
      </c>
    </row>
    <row r="239" spans="2:15" ht="5" customHeight="1" x14ac:dyDescent="0.2">
      <c r="B239" s="27"/>
      <c r="C239" s="117"/>
      <c r="D239" s="117"/>
      <c r="E239" s="117"/>
      <c r="F239" s="117"/>
      <c r="G239" s="209"/>
      <c r="H239" s="45"/>
      <c r="I239" s="45"/>
      <c r="J239" s="45"/>
    </row>
    <row r="240" spans="2:15" x14ac:dyDescent="0.2">
      <c r="B240" s="109" t="s">
        <v>163</v>
      </c>
      <c r="G240" s="105" t="s">
        <v>164</v>
      </c>
      <c r="H240" s="4">
        <v>0</v>
      </c>
      <c r="I240" s="4">
        <v>0</v>
      </c>
      <c r="J240" s="4">
        <v>0</v>
      </c>
    </row>
    <row r="241" spans="2:10" ht="5" customHeight="1" x14ac:dyDescent="0.2">
      <c r="B241" s="27"/>
      <c r="C241" s="117"/>
      <c r="D241" s="117"/>
      <c r="E241" s="117"/>
      <c r="F241" s="117"/>
      <c r="G241" s="209"/>
      <c r="H241" s="45"/>
      <c r="I241" s="45"/>
      <c r="J241" s="45"/>
    </row>
    <row r="242" spans="2:10" x14ac:dyDescent="0.2">
      <c r="B242" s="109" t="s">
        <v>165</v>
      </c>
      <c r="G242" s="105" t="s">
        <v>166</v>
      </c>
      <c r="H242" s="4">
        <v>0</v>
      </c>
      <c r="I242" s="4">
        <v>0</v>
      </c>
      <c r="J242" s="4">
        <v>0</v>
      </c>
    </row>
    <row r="243" spans="2:10" ht="5" customHeight="1" x14ac:dyDescent="0.2">
      <c r="B243" s="27"/>
      <c r="C243" s="117"/>
      <c r="D243" s="117"/>
      <c r="E243" s="117"/>
      <c r="F243" s="117"/>
      <c r="G243" s="209"/>
      <c r="H243" s="45"/>
      <c r="I243" s="45"/>
      <c r="J243" s="45"/>
    </row>
    <row r="244" spans="2:10" x14ac:dyDescent="0.2">
      <c r="B244" s="109" t="s">
        <v>167</v>
      </c>
      <c r="G244" s="105" t="s">
        <v>168</v>
      </c>
      <c r="H244" s="4">
        <v>0</v>
      </c>
      <c r="I244" s="4">
        <v>0</v>
      </c>
      <c r="J244" s="4">
        <v>0</v>
      </c>
    </row>
    <row r="245" spans="2:10" ht="5" customHeight="1" x14ac:dyDescent="0.2">
      <c r="B245" s="27"/>
      <c r="C245" s="117"/>
      <c r="D245" s="117"/>
      <c r="E245" s="117"/>
      <c r="F245" s="117"/>
      <c r="G245" s="209"/>
      <c r="H245" s="45"/>
      <c r="I245" s="45"/>
      <c r="J245" s="45"/>
    </row>
    <row r="246" spans="2:10" x14ac:dyDescent="0.2">
      <c r="B246" s="106" t="s">
        <v>169</v>
      </c>
      <c r="G246" s="105" t="s">
        <v>170</v>
      </c>
      <c r="H246" s="16">
        <v>0</v>
      </c>
      <c r="I246" s="16" t="e">
        <f>+I181</f>
        <v>#REF!</v>
      </c>
      <c r="J246" s="16" t="e">
        <f>+I246+J181</f>
        <v>#REF!</v>
      </c>
    </row>
    <row r="247" spans="2:10" ht="5" customHeight="1" x14ac:dyDescent="0.2">
      <c r="B247" s="106"/>
      <c r="C247" s="117"/>
      <c r="D247" s="117"/>
      <c r="E247" s="117"/>
      <c r="F247" s="117"/>
      <c r="G247" s="209"/>
      <c r="H247" s="45"/>
      <c r="I247" s="45"/>
      <c r="J247" s="45"/>
    </row>
    <row r="248" spans="2:10" x14ac:dyDescent="0.2">
      <c r="B248" s="109" t="s">
        <v>171</v>
      </c>
      <c r="G248" s="105" t="s">
        <v>172</v>
      </c>
      <c r="H248" s="16">
        <v>0</v>
      </c>
      <c r="I248" s="16">
        <v>0</v>
      </c>
      <c r="J248" s="16">
        <v>0</v>
      </c>
    </row>
    <row r="249" spans="2:10" x14ac:dyDescent="0.2">
      <c r="B249" s="40"/>
      <c r="G249" s="105"/>
      <c r="H249" s="16"/>
      <c r="I249" s="16"/>
      <c r="J249" s="16"/>
    </row>
    <row r="250" spans="2:10" x14ac:dyDescent="0.2">
      <c r="B250" s="110" t="s">
        <v>173</v>
      </c>
      <c r="G250" s="105" t="s">
        <v>174</v>
      </c>
      <c r="H250" s="54">
        <v>0</v>
      </c>
      <c r="I250" s="54">
        <v>0</v>
      </c>
      <c r="J250" s="54">
        <v>0</v>
      </c>
    </row>
    <row r="251" spans="2:10" x14ac:dyDescent="0.2">
      <c r="B251" s="9"/>
      <c r="H251" s="7"/>
      <c r="I251" s="7"/>
      <c r="J251" s="7"/>
    </row>
    <row r="252" spans="2:10" x14ac:dyDescent="0.2">
      <c r="B252" s="27" t="s">
        <v>175</v>
      </c>
      <c r="C252" s="117"/>
      <c r="D252" s="117"/>
      <c r="E252" s="117"/>
      <c r="F252" s="117"/>
      <c r="G252" s="105" t="s">
        <v>176</v>
      </c>
      <c r="H252" s="45">
        <f>SUM(H254:H275)</f>
        <v>0</v>
      </c>
      <c r="I252" s="45">
        <f t="shared" ref="I252:J252" si="6">SUM(I254:I275)</f>
        <v>0</v>
      </c>
      <c r="J252" s="45">
        <f t="shared" si="6"/>
        <v>0</v>
      </c>
    </row>
    <row r="253" spans="2:10" ht="5" customHeight="1" x14ac:dyDescent="0.2">
      <c r="B253" s="106"/>
      <c r="C253" s="117"/>
      <c r="D253" s="117"/>
      <c r="E253" s="117"/>
      <c r="F253" s="117"/>
      <c r="G253" s="209"/>
      <c r="H253" s="45"/>
      <c r="I253" s="45"/>
      <c r="J253" s="45"/>
    </row>
    <row r="254" spans="2:10" x14ac:dyDescent="0.2">
      <c r="B254" s="106" t="s">
        <v>177</v>
      </c>
      <c r="C254" s="111"/>
      <c r="G254" s="105" t="s">
        <v>178</v>
      </c>
      <c r="H254" s="4"/>
      <c r="I254" s="4"/>
      <c r="J254" s="4"/>
    </row>
    <row r="255" spans="2:10" x14ac:dyDescent="0.2">
      <c r="B255" s="107" t="s">
        <v>179</v>
      </c>
      <c r="G255" s="105" t="s">
        <v>180</v>
      </c>
      <c r="H255" s="4">
        <f>Inbr_Lening_lang</f>
        <v>0</v>
      </c>
      <c r="I255" s="4">
        <f>Lening_Lang_J1</f>
        <v>0</v>
      </c>
      <c r="J255" s="4">
        <f>Lening_Lang_J2</f>
        <v>0</v>
      </c>
    </row>
    <row r="256" spans="2:10" x14ac:dyDescent="0.2">
      <c r="B256" s="107" t="s">
        <v>181</v>
      </c>
      <c r="G256" s="105" t="s">
        <v>182</v>
      </c>
      <c r="H256" s="4">
        <f>Fin_Bron_Lang</f>
        <v>0</v>
      </c>
      <c r="I256" s="4">
        <f>ALening_Lang_J1</f>
        <v>0</v>
      </c>
      <c r="J256" s="4">
        <f>ALening_Lang_J2</f>
        <v>0</v>
      </c>
    </row>
    <row r="257" spans="2:10" ht="5" customHeight="1" x14ac:dyDescent="0.2">
      <c r="B257" s="106"/>
      <c r="C257" s="117"/>
      <c r="D257" s="117"/>
      <c r="E257" s="117"/>
      <c r="F257" s="117"/>
      <c r="G257" s="209"/>
      <c r="H257" s="45"/>
      <c r="I257" s="45"/>
      <c r="J257" s="45"/>
    </row>
    <row r="258" spans="2:10" x14ac:dyDescent="0.2">
      <c r="B258" s="106" t="s">
        <v>183</v>
      </c>
      <c r="C258" s="111"/>
      <c r="G258" s="105" t="s">
        <v>184</v>
      </c>
      <c r="H258" s="4"/>
      <c r="I258" s="4"/>
      <c r="J258" s="4"/>
    </row>
    <row r="259" spans="2:10" x14ac:dyDescent="0.2">
      <c r="B259" s="107" t="s">
        <v>179</v>
      </c>
      <c r="C259" s="111"/>
      <c r="G259" s="271"/>
      <c r="H259" s="4">
        <f>Inbr_Lening_Kort</f>
        <v>0</v>
      </c>
      <c r="I259" s="4">
        <f>Lening_Kort_J1</f>
        <v>0</v>
      </c>
      <c r="J259" s="4">
        <f>Lening_Kort_J2</f>
        <v>0</v>
      </c>
    </row>
    <row r="260" spans="2:10" x14ac:dyDescent="0.2">
      <c r="B260" s="107" t="s">
        <v>181</v>
      </c>
      <c r="C260"/>
      <c r="G260" s="272"/>
      <c r="H260" s="4">
        <f>Fin_Bron_Kort</f>
        <v>0</v>
      </c>
      <c r="I260" s="4">
        <f>ALening_Kort_J1</f>
        <v>0</v>
      </c>
      <c r="J260" s="4">
        <f>ALening_Kort_J2</f>
        <v>0</v>
      </c>
    </row>
    <row r="261" spans="2:10" ht="5" customHeight="1" x14ac:dyDescent="0.2">
      <c r="B261" s="106"/>
      <c r="C261" s="117"/>
      <c r="D261" s="117"/>
      <c r="E261" s="117"/>
      <c r="F261" s="117"/>
      <c r="G261" s="209"/>
      <c r="H261" s="45"/>
      <c r="I261" s="45"/>
      <c r="J261" s="45"/>
    </row>
    <row r="262" spans="2:10" x14ac:dyDescent="0.2">
      <c r="B262" s="106" t="s">
        <v>185</v>
      </c>
      <c r="C262" s="111"/>
      <c r="G262" s="105" t="s">
        <v>186</v>
      </c>
      <c r="H262" s="4"/>
      <c r="I262" s="4"/>
      <c r="J262" s="4"/>
    </row>
    <row r="263" spans="2:10" ht="5" customHeight="1" x14ac:dyDescent="0.2">
      <c r="B263" s="106"/>
      <c r="C263" s="117"/>
      <c r="D263" s="117"/>
      <c r="E263" s="117"/>
      <c r="F263" s="117"/>
      <c r="G263" s="209"/>
      <c r="H263" s="45"/>
      <c r="I263" s="45"/>
      <c r="J263" s="45"/>
    </row>
    <row r="264" spans="2:10" x14ac:dyDescent="0.2">
      <c r="B264" s="112" t="s">
        <v>187</v>
      </c>
      <c r="C264" s="111"/>
      <c r="G264" s="105"/>
      <c r="H264" s="4"/>
      <c r="I264" s="4"/>
      <c r="J264" s="4"/>
    </row>
    <row r="265" spans="2:10" ht="5" customHeight="1" x14ac:dyDescent="0.2">
      <c r="B265" s="107"/>
      <c r="C265" s="117"/>
      <c r="D265" s="117"/>
      <c r="E265" s="117"/>
      <c r="F265" s="117"/>
      <c r="G265" s="209"/>
      <c r="H265" s="45"/>
      <c r="I265" s="45"/>
      <c r="J265" s="45"/>
    </row>
    <row r="266" spans="2:10" x14ac:dyDescent="0.2">
      <c r="B266" s="107" t="s">
        <v>34</v>
      </c>
      <c r="G266" s="105" t="s">
        <v>188</v>
      </c>
      <c r="H266" s="4">
        <f>+Inbr_Leveranciers</f>
        <v>0</v>
      </c>
      <c r="I266" s="44"/>
      <c r="J266" s="44"/>
    </row>
    <row r="267" spans="2:10" ht="5" customHeight="1" x14ac:dyDescent="0.2">
      <c r="B267" s="107"/>
      <c r="C267" s="117"/>
      <c r="D267" s="117"/>
      <c r="E267" s="117"/>
      <c r="F267" s="117"/>
      <c r="G267" s="209"/>
      <c r="H267" s="45"/>
      <c r="I267" s="45"/>
      <c r="J267" s="45"/>
    </row>
    <row r="268" spans="2:10" x14ac:dyDescent="0.2">
      <c r="B268" s="107" t="s">
        <v>189</v>
      </c>
      <c r="G268" s="105" t="s">
        <v>190</v>
      </c>
      <c r="H268" s="4"/>
      <c r="I268" s="44"/>
      <c r="J268" s="44"/>
    </row>
    <row r="269" spans="2:10" ht="5" customHeight="1" x14ac:dyDescent="0.2">
      <c r="B269" s="107"/>
      <c r="C269" s="117"/>
      <c r="D269" s="117"/>
      <c r="E269" s="117"/>
      <c r="F269" s="117"/>
      <c r="G269" s="209"/>
      <c r="H269" s="45"/>
      <c r="I269" s="45"/>
      <c r="J269" s="45"/>
    </row>
    <row r="270" spans="2:10" x14ac:dyDescent="0.2">
      <c r="B270" s="112" t="s">
        <v>191</v>
      </c>
      <c r="C270" s="111"/>
      <c r="G270" s="105" t="s">
        <v>192</v>
      </c>
      <c r="H270" s="4"/>
      <c r="I270" s="4"/>
      <c r="J270" s="4"/>
    </row>
    <row r="271" spans="2:10" ht="5" customHeight="1" x14ac:dyDescent="0.2">
      <c r="B271" s="107"/>
      <c r="C271" s="117"/>
      <c r="D271" s="117"/>
      <c r="E271" s="117"/>
      <c r="F271" s="117"/>
      <c r="G271" s="209"/>
      <c r="H271" s="45"/>
      <c r="I271" s="45"/>
      <c r="J271" s="45"/>
    </row>
    <row r="272" spans="2:10" x14ac:dyDescent="0.2">
      <c r="B272" s="112" t="s">
        <v>193</v>
      </c>
      <c r="C272" s="111"/>
      <c r="G272" s="105" t="s">
        <v>194</v>
      </c>
      <c r="H272" s="4"/>
      <c r="I272" s="4"/>
      <c r="J272" s="4"/>
    </row>
    <row r="273" spans="2:15" ht="5" customHeight="1" x14ac:dyDescent="0.2">
      <c r="B273" s="106"/>
      <c r="C273" s="117"/>
      <c r="D273" s="117"/>
      <c r="E273" s="117"/>
      <c r="F273" s="117"/>
      <c r="G273" s="209"/>
      <c r="H273" s="45"/>
      <c r="I273" s="45"/>
      <c r="J273" s="45"/>
    </row>
    <row r="274" spans="2:15" x14ac:dyDescent="0.2">
      <c r="B274" s="109" t="s">
        <v>195</v>
      </c>
      <c r="C274" s="111"/>
      <c r="G274" s="105" t="s">
        <v>196</v>
      </c>
      <c r="H274" s="4"/>
      <c r="I274" s="4"/>
      <c r="J274" s="4"/>
    </row>
    <row r="275" spans="2:15" x14ac:dyDescent="0.2">
      <c r="B275" s="9"/>
      <c r="H275" s="7"/>
      <c r="I275" s="7"/>
      <c r="J275" s="7"/>
    </row>
    <row r="276" spans="2:15" x14ac:dyDescent="0.2">
      <c r="B276" s="225" t="s">
        <v>197</v>
      </c>
      <c r="C276" s="226"/>
      <c r="D276" s="226"/>
      <c r="E276" s="226"/>
      <c r="F276" s="226"/>
      <c r="G276" s="227"/>
      <c r="H276" s="232">
        <f>+H252+H250+H234</f>
        <v>4000</v>
      </c>
      <c r="I276" s="232" t="e">
        <f t="shared" ref="I276:J276" si="7">+I252+I250+I234</f>
        <v>#REF!</v>
      </c>
      <c r="J276" s="232" t="e">
        <f t="shared" si="7"/>
        <v>#REF!</v>
      </c>
      <c r="M276" s="2"/>
      <c r="N276" s="2"/>
      <c r="O276" s="2"/>
    </row>
    <row r="279" spans="2:15" x14ac:dyDescent="0.2">
      <c r="B279" s="216" t="s">
        <v>198</v>
      </c>
      <c r="C279" s="128" t="s">
        <v>199</v>
      </c>
      <c r="D279" s="128"/>
      <c r="E279" s="128"/>
      <c r="F279" s="128"/>
      <c r="G279" s="217"/>
      <c r="H279" s="218"/>
      <c r="I279" s="218"/>
      <c r="J279" s="219"/>
    </row>
    <row r="281" spans="2:15" x14ac:dyDescent="0.2">
      <c r="B281" s="263" t="s">
        <v>200</v>
      </c>
      <c r="C281" s="264"/>
      <c r="D281" s="264"/>
      <c r="E281" s="264"/>
      <c r="F281" s="264"/>
      <c r="G281" s="264"/>
      <c r="H281" s="264"/>
      <c r="I281" s="32" t="s">
        <v>2</v>
      </c>
      <c r="J281" s="32" t="s">
        <v>3</v>
      </c>
    </row>
    <row r="282" spans="2:15" x14ac:dyDescent="0.2">
      <c r="B282" s="266"/>
      <c r="C282" s="267"/>
      <c r="D282" s="267"/>
      <c r="E282" s="267"/>
      <c r="F282" s="267"/>
      <c r="G282" s="267"/>
      <c r="H282" s="267"/>
      <c r="I282" s="37" t="s">
        <v>5</v>
      </c>
      <c r="J282" s="37" t="s">
        <v>5</v>
      </c>
    </row>
    <row r="283" spans="2:15" ht="5" customHeight="1" x14ac:dyDescent="0.2">
      <c r="B283" s="106"/>
      <c r="C283" s="117"/>
      <c r="D283" s="117"/>
      <c r="E283" s="117"/>
      <c r="F283" s="117"/>
      <c r="G283" s="209"/>
      <c r="H283" s="46"/>
      <c r="I283" s="45"/>
      <c r="J283" s="45"/>
    </row>
    <row r="284" spans="2:15" x14ac:dyDescent="0.2">
      <c r="B284" s="9" t="s">
        <v>201</v>
      </c>
      <c r="H284" s="20"/>
      <c r="I284" s="16" t="e">
        <f>EBIT_J1</f>
        <v>#REF!</v>
      </c>
      <c r="J284" s="16" t="e">
        <f>EBIT_J2</f>
        <v>#REF!</v>
      </c>
    </row>
    <row r="285" spans="2:15" x14ac:dyDescent="0.2">
      <c r="B285" s="26" t="s">
        <v>202</v>
      </c>
      <c r="H285" s="20"/>
      <c r="I285" s="16">
        <f>Afs_Tot_J1</f>
        <v>4500</v>
      </c>
      <c r="J285" s="16">
        <f>Afs_Tot_J2</f>
        <v>1600</v>
      </c>
    </row>
    <row r="286" spans="2:15" x14ac:dyDescent="0.2">
      <c r="B286" s="26" t="s">
        <v>203</v>
      </c>
      <c r="H286" s="20"/>
      <c r="I286" s="16">
        <v>0</v>
      </c>
      <c r="J286" s="16">
        <v>0</v>
      </c>
    </row>
    <row r="287" spans="2:15" x14ac:dyDescent="0.2">
      <c r="B287" s="225" t="s">
        <v>204</v>
      </c>
      <c r="C287" s="226"/>
      <c r="D287" s="226"/>
      <c r="E287" s="226"/>
      <c r="F287" s="226"/>
      <c r="G287" s="227"/>
      <c r="H287" s="231"/>
      <c r="I287" s="232" t="e">
        <f>+I284+I285+I286</f>
        <v>#REF!</v>
      </c>
      <c r="J287" s="232" t="e">
        <f>+J284+J285+J286</f>
        <v>#REF!</v>
      </c>
    </row>
    <row r="288" spans="2:15" x14ac:dyDescent="0.2">
      <c r="B288" s="9" t="s">
        <v>205</v>
      </c>
      <c r="H288" s="21"/>
      <c r="I288" s="16">
        <f>-Eind_Voorraad_J1+Eind_Voorraad_J0</f>
        <v>0</v>
      </c>
      <c r="J288" s="16">
        <f>-Eind_Voorraad_J2+Eind_Voorraad_J1</f>
        <v>0</v>
      </c>
    </row>
    <row r="289" spans="2:10" x14ac:dyDescent="0.2">
      <c r="B289" s="9" t="s">
        <v>206</v>
      </c>
      <c r="H289" s="20"/>
      <c r="I289" s="16">
        <f>-Klanten_J1+Klanten_J0</f>
        <v>0</v>
      </c>
      <c r="J289" s="16">
        <f>-Klanten_J2+Klanten_J1</f>
        <v>0</v>
      </c>
    </row>
    <row r="290" spans="2:10" x14ac:dyDescent="0.2">
      <c r="B290" s="9" t="s">
        <v>207</v>
      </c>
      <c r="H290" s="21"/>
      <c r="I290" s="16">
        <f>-OVord_J1+OVord_J0</f>
        <v>0</v>
      </c>
      <c r="J290" s="16">
        <f>-OVord_J2+OVord_J1</f>
        <v>0</v>
      </c>
    </row>
    <row r="291" spans="2:10" x14ac:dyDescent="0.2">
      <c r="B291" s="9" t="s">
        <v>208</v>
      </c>
      <c r="H291" s="20"/>
      <c r="I291" s="16">
        <f>+Leveranciers_J1-Leveranciers_J0</f>
        <v>0</v>
      </c>
      <c r="J291" s="16">
        <f>Leveranciers_J2-Leveranciers_J1</f>
        <v>0</v>
      </c>
    </row>
    <row r="292" spans="2:10" x14ac:dyDescent="0.2">
      <c r="B292" s="9" t="s">
        <v>209</v>
      </c>
      <c r="H292" s="20"/>
      <c r="I292" s="16">
        <f>+SocFisc_SChuld_J1-SocFisc_Schuld_J0</f>
        <v>0</v>
      </c>
      <c r="J292" s="16">
        <f>+SocFisc_Schuld_J2-SocFisc_SChuld_J1</f>
        <v>0</v>
      </c>
    </row>
    <row r="293" spans="2:10" x14ac:dyDescent="0.2">
      <c r="B293" s="9"/>
      <c r="H293" s="21"/>
      <c r="I293" s="7"/>
      <c r="J293" s="7"/>
    </row>
    <row r="294" spans="2:10" x14ac:dyDescent="0.2">
      <c r="B294" s="225" t="s">
        <v>210</v>
      </c>
      <c r="C294" s="226"/>
      <c r="D294" s="226"/>
      <c r="E294" s="226"/>
      <c r="F294" s="226"/>
      <c r="G294" s="227"/>
      <c r="H294" s="231"/>
      <c r="I294" s="232">
        <f>SUM(I288:I293)</f>
        <v>0</v>
      </c>
      <c r="J294" s="232">
        <f>SUM(J288:J293)</f>
        <v>0</v>
      </c>
    </row>
    <row r="295" spans="2:10" x14ac:dyDescent="0.2">
      <c r="B295" s="9"/>
      <c r="H295" s="21"/>
      <c r="I295" s="7"/>
      <c r="J295" s="7"/>
    </row>
    <row r="296" spans="2:10" x14ac:dyDescent="0.2">
      <c r="B296" s="9" t="s">
        <v>211</v>
      </c>
      <c r="H296" s="20"/>
      <c r="I296" s="16" t="e">
        <f>VenB_J1</f>
        <v>#REF!</v>
      </c>
      <c r="J296" s="16" t="e">
        <f>VenB_J2</f>
        <v>#REF!</v>
      </c>
    </row>
    <row r="297" spans="2:10" x14ac:dyDescent="0.2">
      <c r="B297" s="9"/>
      <c r="H297" s="21"/>
      <c r="I297" s="7"/>
      <c r="J297" s="7"/>
    </row>
    <row r="298" spans="2:10" x14ac:dyDescent="0.2">
      <c r="B298" s="225" t="s">
        <v>212</v>
      </c>
      <c r="C298" s="226"/>
      <c r="D298" s="226"/>
      <c r="E298" s="226"/>
      <c r="F298" s="226"/>
      <c r="G298" s="227"/>
      <c r="H298" s="231"/>
      <c r="I298" s="232" t="e">
        <f>+I287+I294+I296</f>
        <v>#REF!</v>
      </c>
      <c r="J298" s="232" t="e">
        <f>+J287+J294+J296</f>
        <v>#REF!</v>
      </c>
    </row>
    <row r="299" spans="2:10" x14ac:dyDescent="0.2">
      <c r="B299" s="9"/>
      <c r="H299" s="21"/>
      <c r="I299" s="7"/>
      <c r="J299" s="7"/>
    </row>
    <row r="300" spans="2:10" x14ac:dyDescent="0.2">
      <c r="B300" s="9" t="s">
        <v>213</v>
      </c>
      <c r="H300" s="20"/>
      <c r="I300" s="16">
        <f>-Inv_Tot_J1</f>
        <v>-51950</v>
      </c>
      <c r="J300" s="16">
        <f>-Inv_Tot_J2</f>
        <v>0</v>
      </c>
    </row>
    <row r="301" spans="2:10" x14ac:dyDescent="0.2">
      <c r="B301" s="9"/>
      <c r="H301" s="21"/>
      <c r="I301" s="7"/>
      <c r="J301" s="7"/>
    </row>
    <row r="302" spans="2:10" x14ac:dyDescent="0.2">
      <c r="B302" s="225" t="s">
        <v>214</v>
      </c>
      <c r="C302" s="226"/>
      <c r="D302" s="226"/>
      <c r="E302" s="226"/>
      <c r="F302" s="226"/>
      <c r="G302" s="227"/>
      <c r="H302" s="231"/>
      <c r="I302" s="232">
        <f>SUM(I300:I301)</f>
        <v>-51950</v>
      </c>
      <c r="J302" s="232">
        <f>SUM(J300:J301)</f>
        <v>0</v>
      </c>
    </row>
    <row r="303" spans="2:10" x14ac:dyDescent="0.2">
      <c r="B303" s="17"/>
      <c r="C303" s="18"/>
      <c r="D303" s="18"/>
      <c r="E303" s="18"/>
      <c r="F303" s="18"/>
      <c r="G303" s="19"/>
      <c r="H303" s="104"/>
      <c r="I303" s="15"/>
      <c r="J303" s="15"/>
    </row>
    <row r="304" spans="2:10" x14ac:dyDescent="0.2">
      <c r="B304" s="26" t="s">
        <v>215</v>
      </c>
      <c r="H304" s="21"/>
      <c r="I304" s="7"/>
      <c r="J304" s="7"/>
    </row>
    <row r="305" spans="2:10" x14ac:dyDescent="0.2">
      <c r="B305" s="40" t="s">
        <v>216</v>
      </c>
      <c r="H305" s="21"/>
      <c r="I305" s="4">
        <f>Lening_Lang_Nieuw_J1+Lening_Kort_Nieuw_J1+ALening_Lang_Nieuw_J1+ALening_Kort_Nieuw_J1</f>
        <v>0</v>
      </c>
      <c r="J305" s="4">
        <f>Lening_Lang_Nieuw_J2+Lening_Kort_Nieuw_J2+Alening_Lang_Nieuw_J2+ALening_Kort_Nieuw_J2</f>
        <v>0</v>
      </c>
    </row>
    <row r="306" spans="2:10" x14ac:dyDescent="0.2">
      <c r="B306" s="40" t="s">
        <v>217</v>
      </c>
      <c r="H306" s="21"/>
      <c r="I306" s="4">
        <f>Lening_Kort_Aflos_J1+ALening_Kort_Aflos_J1</f>
        <v>0</v>
      </c>
      <c r="J306" s="4">
        <f>Lening_Kort_Aflos_J2+ALening_Kort_Aflos_J2</f>
        <v>0</v>
      </c>
    </row>
    <row r="307" spans="2:10" x14ac:dyDescent="0.2">
      <c r="B307" s="40" t="s">
        <v>218</v>
      </c>
      <c r="H307" s="21"/>
      <c r="I307" s="4"/>
      <c r="J307" s="4"/>
    </row>
    <row r="308" spans="2:10" x14ac:dyDescent="0.2">
      <c r="B308" s="40" t="s">
        <v>219</v>
      </c>
      <c r="H308" s="20"/>
      <c r="I308" s="16">
        <f>+FinKost_J1</f>
        <v>898.33333333333326</v>
      </c>
      <c r="J308" s="16">
        <f>+FinKost_J2</f>
        <v>707.4</v>
      </c>
    </row>
    <row r="309" spans="2:10" x14ac:dyDescent="0.2">
      <c r="B309" s="40" t="s">
        <v>220</v>
      </c>
      <c r="H309" s="20"/>
      <c r="I309" s="16">
        <f>+FinOpbr_J1</f>
        <v>0</v>
      </c>
      <c r="J309" s="16">
        <f>+FinOpbr_J2</f>
        <v>0</v>
      </c>
    </row>
    <row r="310" spans="2:10" x14ac:dyDescent="0.2">
      <c r="B310" s="9"/>
      <c r="H310" s="21"/>
      <c r="I310" s="16"/>
      <c r="J310" s="16"/>
    </row>
    <row r="311" spans="2:10" x14ac:dyDescent="0.2">
      <c r="B311" s="225" t="s">
        <v>221</v>
      </c>
      <c r="C311" s="226"/>
      <c r="D311" s="226"/>
      <c r="E311" s="226"/>
      <c r="F311" s="226"/>
      <c r="G311" s="227"/>
      <c r="H311" s="231"/>
      <c r="I311" s="232">
        <f>SUM(I304:I310)</f>
        <v>898.33333333333326</v>
      </c>
      <c r="J311" s="232">
        <f>SUM(J304:J310)</f>
        <v>707.4</v>
      </c>
    </row>
    <row r="313" spans="2:10" x14ac:dyDescent="0.2">
      <c r="B313" s="263" t="s">
        <v>222</v>
      </c>
      <c r="C313" s="264"/>
      <c r="D313" s="264"/>
      <c r="E313" s="264"/>
      <c r="F313" s="264"/>
      <c r="G313" s="264"/>
      <c r="H313" s="264"/>
      <c r="I313" s="32" t="s">
        <v>2</v>
      </c>
      <c r="J313" s="32" t="s">
        <v>3</v>
      </c>
    </row>
    <row r="314" spans="2:10" x14ac:dyDescent="0.2">
      <c r="B314" s="266"/>
      <c r="C314" s="267"/>
      <c r="D314" s="267"/>
      <c r="E314" s="267"/>
      <c r="F314" s="267"/>
      <c r="G314" s="267"/>
      <c r="H314" s="267"/>
      <c r="I314" s="37" t="s">
        <v>5</v>
      </c>
      <c r="J314" s="37" t="s">
        <v>5</v>
      </c>
    </row>
    <row r="315" spans="2:10" x14ac:dyDescent="0.2">
      <c r="B315" s="9"/>
      <c r="H315" s="21"/>
      <c r="I315" s="7"/>
      <c r="J315" s="7"/>
    </row>
    <row r="316" spans="2:10" x14ac:dyDescent="0.2">
      <c r="B316" s="9" t="s">
        <v>212</v>
      </c>
      <c r="H316" s="20"/>
      <c r="I316" s="16" t="e">
        <f>+I298</f>
        <v>#REF!</v>
      </c>
      <c r="J316" s="16" t="e">
        <f>+J298</f>
        <v>#REF!</v>
      </c>
    </row>
    <row r="317" spans="2:10" x14ac:dyDescent="0.2">
      <c r="B317" s="9" t="s">
        <v>214</v>
      </c>
      <c r="H317" s="20"/>
      <c r="I317" s="16">
        <f>+I302</f>
        <v>-51950</v>
      </c>
      <c r="J317" s="16">
        <f>+J302</f>
        <v>0</v>
      </c>
    </row>
    <row r="318" spans="2:10" x14ac:dyDescent="0.2">
      <c r="B318" s="9" t="s">
        <v>221</v>
      </c>
      <c r="H318" s="20"/>
      <c r="I318" s="16">
        <f>+I311</f>
        <v>898.33333333333326</v>
      </c>
      <c r="J318" s="16">
        <f>+J311</f>
        <v>707.4</v>
      </c>
    </row>
    <row r="319" spans="2:10" x14ac:dyDescent="0.2">
      <c r="B319" s="9"/>
      <c r="H319" s="21"/>
      <c r="I319" s="7"/>
      <c r="J319" s="7"/>
    </row>
    <row r="320" spans="2:10" x14ac:dyDescent="0.2">
      <c r="B320" s="225" t="s">
        <v>223</v>
      </c>
      <c r="C320" s="226"/>
      <c r="D320" s="226"/>
      <c r="E320" s="226"/>
      <c r="F320" s="226"/>
      <c r="G320" s="227"/>
      <c r="H320" s="231"/>
      <c r="I320" s="232" t="e">
        <f>SUM(I316:I318)</f>
        <v>#REF!</v>
      </c>
      <c r="J320" s="232" t="e">
        <f>SUM(J316:J318)</f>
        <v>#REF!</v>
      </c>
    </row>
    <row r="322" spans="2:10" x14ac:dyDescent="0.2">
      <c r="B322" s="263" t="s">
        <v>224</v>
      </c>
      <c r="C322" s="264"/>
      <c r="D322" s="264"/>
      <c r="E322" s="264"/>
      <c r="F322" s="264"/>
      <c r="G322" s="264"/>
      <c r="H322" s="264"/>
      <c r="I322" s="32" t="s">
        <v>2</v>
      </c>
      <c r="J322" s="32" t="s">
        <v>3</v>
      </c>
    </row>
    <row r="323" spans="2:10" x14ac:dyDescent="0.2">
      <c r="B323" s="266"/>
      <c r="C323" s="267"/>
      <c r="D323" s="267"/>
      <c r="E323" s="267"/>
      <c r="F323" s="267"/>
      <c r="G323" s="267"/>
      <c r="H323" s="267"/>
      <c r="I323" s="37" t="s">
        <v>5</v>
      </c>
      <c r="J323" s="37" t="s">
        <v>5</v>
      </c>
    </row>
    <row r="324" spans="2:10" x14ac:dyDescent="0.2">
      <c r="B324" s="9"/>
      <c r="H324" s="21"/>
      <c r="I324" s="7"/>
      <c r="J324" s="7"/>
    </row>
    <row r="325" spans="2:10" x14ac:dyDescent="0.2">
      <c r="B325" s="9" t="s">
        <v>225</v>
      </c>
      <c r="H325" s="21"/>
      <c r="I325" s="16">
        <f>Inbr_Geld+Fin_Bron_Lang+Fin_Bron_Kort</f>
        <v>4000</v>
      </c>
      <c r="J325" s="16" t="e">
        <f>+I326</f>
        <v>#REF!</v>
      </c>
    </row>
    <row r="326" spans="2:10" x14ac:dyDescent="0.2">
      <c r="B326" s="9" t="s">
        <v>226</v>
      </c>
      <c r="H326" s="20"/>
      <c r="I326" s="16" t="e">
        <f>+I325+CashFlow_J1</f>
        <v>#REF!</v>
      </c>
      <c r="J326" s="16" t="e">
        <f>+J325+CashFlow_J2</f>
        <v>#REF!</v>
      </c>
    </row>
    <row r="327" spans="2:10" x14ac:dyDescent="0.2">
      <c r="B327" s="9"/>
      <c r="H327" s="20"/>
      <c r="I327" s="7"/>
      <c r="J327" s="7"/>
    </row>
    <row r="328" spans="2:10" x14ac:dyDescent="0.2">
      <c r="B328" s="225" t="s">
        <v>223</v>
      </c>
      <c r="C328" s="226"/>
      <c r="D328" s="226"/>
      <c r="E328" s="226"/>
      <c r="F328" s="226"/>
      <c r="G328" s="227"/>
      <c r="H328" s="231"/>
      <c r="I328" s="232" t="e">
        <f>+I326-I325</f>
        <v>#REF!</v>
      </c>
      <c r="J328" s="232" t="e">
        <f>J325+J326</f>
        <v>#REF!</v>
      </c>
    </row>
  </sheetData>
  <sheetProtection algorithmName="SHA-512" hashValue="YyTHkb4UmDML6DHcysi59Lp040cDsfWrVwv+cdADPznjj0lqmxKb/7Q0kG6+isn2cAvs9+O0l8/CMZSQs1OXFg==" saltValue="HOXAiMI+mp2sGl+uuYiC9w==" spinCount="100000" sheet="1" objects="1" scenarios="1"/>
  <mergeCells count="25">
    <mergeCell ref="B8:F8"/>
    <mergeCell ref="H67:J67"/>
    <mergeCell ref="I68:J68"/>
    <mergeCell ref="B20:J21"/>
    <mergeCell ref="G196:G197"/>
    <mergeCell ref="I105:J105"/>
    <mergeCell ref="B120:H121"/>
    <mergeCell ref="B164:H165"/>
    <mergeCell ref="G105:H105"/>
    <mergeCell ref="B313:G314"/>
    <mergeCell ref="H313:H314"/>
    <mergeCell ref="B322:G323"/>
    <mergeCell ref="H322:H323"/>
    <mergeCell ref="B176:H177"/>
    <mergeCell ref="B281:G282"/>
    <mergeCell ref="H281:H282"/>
    <mergeCell ref="B186:G187"/>
    <mergeCell ref="H186:H187"/>
    <mergeCell ref="B231:G232"/>
    <mergeCell ref="H231:H232"/>
    <mergeCell ref="G200:G201"/>
    <mergeCell ref="G202:G203"/>
    <mergeCell ref="G204:G205"/>
    <mergeCell ref="G206:G207"/>
    <mergeCell ref="G259:G260"/>
  </mergeCells>
  <conditionalFormatting sqref="I90">
    <cfRule type="expression" dxfId="19" priority="23">
      <formula>Afs_OK_J1&gt;Inv_OK_J1</formula>
    </cfRule>
  </conditionalFormatting>
  <conditionalFormatting sqref="J90">
    <cfRule type="expression" dxfId="18" priority="22">
      <formula>Afs_OK_J1+Afs_OK_J2&gt;Inv_OK_J1</formula>
    </cfRule>
  </conditionalFormatting>
  <conditionalFormatting sqref="I92">
    <cfRule type="expression" dxfId="17" priority="21">
      <formula>$I$92&gt;$H$74+$I$74</formula>
    </cfRule>
  </conditionalFormatting>
  <conditionalFormatting sqref="J92">
    <cfRule type="expression" dxfId="16" priority="20">
      <formula>$I$92+$J$92&gt;$H$74+$I$74+$J$74</formula>
    </cfRule>
  </conditionalFormatting>
  <conditionalFormatting sqref="I95">
    <cfRule type="expression" dxfId="15" priority="19">
      <formula>$I$95&gt;$H$77+$I$77</formula>
    </cfRule>
  </conditionalFormatting>
  <conditionalFormatting sqref="J95">
    <cfRule type="expression" dxfId="14" priority="18">
      <formula>$I$95+$J$95&gt;$H$77+$I$77+$J$77</formula>
    </cfRule>
  </conditionalFormatting>
  <conditionalFormatting sqref="I96">
    <cfRule type="expression" dxfId="13" priority="17">
      <formula>$I$96&gt;$H$78+$I$78</formula>
    </cfRule>
  </conditionalFormatting>
  <conditionalFormatting sqref="J96">
    <cfRule type="expression" dxfId="12" priority="16">
      <formula>$I$96+$J$96&gt;$H$78+$I$78+$J$78</formula>
    </cfRule>
  </conditionalFormatting>
  <conditionalFormatting sqref="I97">
    <cfRule type="expression" dxfId="11" priority="15">
      <formula>$I$97&gt;$H$79+$I$79</formula>
    </cfRule>
  </conditionalFormatting>
  <conditionalFormatting sqref="J97">
    <cfRule type="expression" dxfId="10" priority="14">
      <formula>$I$97+$J$97&gt;$H$79+$I$79+$J$79</formula>
    </cfRule>
  </conditionalFormatting>
  <conditionalFormatting sqref="I98">
    <cfRule type="expression" dxfId="9" priority="13">
      <formula>$I$98&gt;$H$80+$I$80</formula>
    </cfRule>
  </conditionalFormatting>
  <conditionalFormatting sqref="J98">
    <cfRule type="expression" dxfId="8" priority="12">
      <formula>$I$98+$J$98&gt;$H$80+$I$80+$J$80</formula>
    </cfRule>
  </conditionalFormatting>
  <conditionalFormatting sqref="H109">
    <cfRule type="expression" dxfId="7" priority="11">
      <formula>-$H$109&gt;SUM($H$107:$H$108)</formula>
    </cfRule>
  </conditionalFormatting>
  <conditionalFormatting sqref="J109">
    <cfRule type="expression" dxfId="6" priority="10">
      <formula>-$J$109&gt;SUM($J$107:$J$108)</formula>
    </cfRule>
  </conditionalFormatting>
  <conditionalFormatting sqref="G110">
    <cfRule type="expression" dxfId="5" priority="9">
      <formula>-$G$110&gt;SUM($G$107:$G$108)</formula>
    </cfRule>
  </conditionalFormatting>
  <conditionalFormatting sqref="I110">
    <cfRule type="expression" dxfId="4" priority="8">
      <formula>-$I$110&gt;SUM($I$107:$I$108)</formula>
    </cfRule>
  </conditionalFormatting>
  <conditionalFormatting sqref="H113">
    <cfRule type="expression" dxfId="3" priority="7">
      <formula>-$H$113&gt;SUM($H$111:$H$112)</formula>
    </cfRule>
  </conditionalFormatting>
  <conditionalFormatting sqref="J113">
    <cfRule type="expression" dxfId="2" priority="6">
      <formula>-$J$113&gt;SUM($J$111:$J$112)</formula>
    </cfRule>
  </conditionalFormatting>
  <conditionalFormatting sqref="G114">
    <cfRule type="expression" dxfId="1" priority="5">
      <formula>-$G$114&gt;SUM($G$111:$G$112)</formula>
    </cfRule>
  </conditionalFormatting>
  <conditionalFormatting sqref="I114">
    <cfRule type="expression" dxfId="0" priority="4">
      <formula>-$I$114&gt;SUM($I$111:$I$112)</formula>
    </cfRule>
  </conditionalFormatting>
  <dataValidations count="4">
    <dataValidation type="decimal" operator="greaterThanOrEqual" allowBlank="1" showInputMessage="1" showErrorMessage="1" sqref="H36 H47 H44 H41:H42 I76:J76 I94:J94 I220:J221 I132:J132 I128:J128 I218:J218" xr:uid="{733B0F8C-98ED-4FD5-A0DA-8ADE9D6F5C57}">
      <formula1>0</formula1>
    </dataValidation>
    <dataValidation type="decimal" operator="lessThanOrEqual" allowBlank="1" showInputMessage="1" showErrorMessage="1" error="Waarde kleiner of gelijk aan 0!" sqref="H109 J109 G110 I110 H113 J113 G114 I114 I137:J147 I149:J149 I154:J155 I171:J172 I126:J126 I179:J179" xr:uid="{B5CC879D-0B7F-43E1-87DC-1209F9DDA0A6}">
      <formula1>0</formula1>
    </dataValidation>
    <dataValidation type="decimal" operator="greaterThanOrEqual" allowBlank="1" showInputMessage="1" showErrorMessage="1" error="Waarde hoger of gelijk aan 0!" sqref="H28" xr:uid="{72D1FFBC-3651-41E9-8454-3626B3A9AF66}">
      <formula1>0</formula1>
    </dataValidation>
    <dataValidation type="decimal" operator="greaterThanOrEqual" allowBlank="1" showInputMessage="1" showErrorMessage="1" error="Waarde groter of gelijk aan 0!" sqref="H35 H43 H45:H46 H49:H51 H58:H59 I266:J266 I72 I74:J74 I90:J90 I92:J92 I95:J98 H37:H40 G108:J108 G112:J112 I133:J134 I168:J169 J123:J125 I123:I124 I268:J268 I77:J80" xr:uid="{47E889B5-E733-4FB2-B9CF-B366AAC0AAA6}">
      <formula1>0</formula1>
    </dataValidation>
  </dataValidations>
  <pageMargins left="0.70866141732283472" right="0.70866141732283472" top="0.11811023622047245" bottom="0.11811023622047245" header="0.78740157480314965" footer="0.11811023622047245"/>
  <pageSetup paperSize="9" scale="90" orientation="portrait" horizontalDpi="4294967293" verticalDpi="1200" r:id="rId1"/>
  <headerFooter>
    <oddFooter>Pagina &amp;P van &amp;N</oddFooter>
  </headerFooter>
  <rowBreaks count="5" manualBreakCount="5">
    <brk id="63" max="16383" man="1"/>
    <brk id="117" max="16383" man="1"/>
    <brk id="175" max="16383" man="1"/>
    <brk id="230" max="16383" man="1"/>
    <brk id="278" max="16383"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0F1C-1962-4ED7-BD0F-EBFF7938E25F}">
  <sheetPr>
    <tabColor rgb="FFFFFF00"/>
  </sheetPr>
  <dimension ref="A1:Q116"/>
  <sheetViews>
    <sheetView topLeftCell="A15" zoomScale="99" workbookViewId="0">
      <selection activeCell="H106" sqref="H106"/>
    </sheetView>
  </sheetViews>
  <sheetFormatPr baseColWidth="10" defaultColWidth="9.1640625" defaultRowHeight="14" x14ac:dyDescent="0.15"/>
  <cols>
    <col min="1" max="1" width="9.33203125" style="144" bestFit="1" customWidth="1"/>
    <col min="2" max="2" width="37.1640625" style="170" bestFit="1" customWidth="1"/>
    <col min="3" max="3" width="15" style="150" bestFit="1" customWidth="1" collapsed="1"/>
    <col min="4" max="4" width="15" style="150" customWidth="1"/>
    <col min="5" max="5" width="15.6640625" style="150" customWidth="1"/>
    <col min="6" max="6" width="9.1640625" style="147"/>
    <col min="7" max="7" width="17.5" style="150" bestFit="1" customWidth="1" collapsed="1"/>
    <col min="8" max="8" width="11" style="147" bestFit="1" customWidth="1"/>
    <col min="9" max="9" width="11.1640625" style="147" customWidth="1"/>
    <col min="10" max="10" width="22" style="147" customWidth="1"/>
    <col min="11" max="11" width="6.5" style="147" customWidth="1"/>
    <col min="12" max="13" width="9.1640625" style="147"/>
    <col min="14" max="14" width="10.1640625" style="147" bestFit="1" customWidth="1"/>
    <col min="15" max="15" width="12.1640625" style="147" bestFit="1" customWidth="1"/>
    <col min="16" max="16" width="10.1640625" style="147" bestFit="1" customWidth="1"/>
    <col min="17" max="17" width="12.1640625" style="147" bestFit="1" customWidth="1"/>
    <col min="18" max="16384" width="9.1640625" style="147"/>
  </cols>
  <sheetData>
    <row r="1" spans="1:11" x14ac:dyDescent="0.15">
      <c r="B1" s="145"/>
      <c r="C1" s="146" t="s">
        <v>229</v>
      </c>
      <c r="D1" s="146" t="s">
        <v>229</v>
      </c>
      <c r="E1" s="146" t="s">
        <v>229</v>
      </c>
      <c r="G1" s="146" t="s">
        <v>229</v>
      </c>
      <c r="J1" s="147" t="s">
        <v>230</v>
      </c>
      <c r="K1" s="214">
        <v>14</v>
      </c>
    </row>
    <row r="2" spans="1:11" x14ac:dyDescent="0.15">
      <c r="B2" s="145"/>
      <c r="C2" s="148" t="s">
        <v>231</v>
      </c>
      <c r="D2" s="148" t="s">
        <v>232</v>
      </c>
      <c r="E2" s="149" t="s">
        <v>233</v>
      </c>
      <c r="G2" s="149" t="s">
        <v>234</v>
      </c>
      <c r="J2" s="147" t="s">
        <v>235</v>
      </c>
    </row>
    <row r="3" spans="1:11" x14ac:dyDescent="0.15">
      <c r="B3" s="145"/>
      <c r="C3" s="143" t="s">
        <v>228</v>
      </c>
      <c r="D3" s="143"/>
      <c r="G3" s="143" t="s">
        <v>228</v>
      </c>
    </row>
    <row r="4" spans="1:11" s="155" customFormat="1" ht="17" thickBot="1" x14ac:dyDescent="0.25">
      <c r="A4" s="151"/>
      <c r="B4" s="152"/>
      <c r="C4" s="153"/>
      <c r="D4" s="153"/>
      <c r="E4" s="154"/>
      <c r="G4" s="153"/>
      <c r="J4" s="147" t="s">
        <v>236</v>
      </c>
      <c r="K4" s="214">
        <v>12</v>
      </c>
    </row>
    <row r="5" spans="1:11" s="160" customFormat="1" ht="16.5" customHeight="1" thickBot="1" x14ac:dyDescent="0.25">
      <c r="A5" s="156"/>
      <c r="B5" s="157" t="s">
        <v>309</v>
      </c>
      <c r="C5" s="158" t="s">
        <v>237</v>
      </c>
      <c r="D5" s="158" t="s">
        <v>315</v>
      </c>
      <c r="E5" s="234" t="s">
        <v>382</v>
      </c>
      <c r="F5" s="159"/>
      <c r="G5" s="235" t="s">
        <v>232</v>
      </c>
    </row>
    <row r="6" spans="1:11" s="160" customFormat="1" ht="16.5" customHeight="1" x14ac:dyDescent="0.2">
      <c r="A6" s="156"/>
      <c r="B6" s="145"/>
      <c r="C6" s="166"/>
      <c r="D6" s="166"/>
      <c r="E6" s="166"/>
      <c r="F6" s="147"/>
      <c r="G6" s="150"/>
      <c r="H6" s="173"/>
      <c r="J6" s="155" t="s">
        <v>238</v>
      </c>
    </row>
    <row r="7" spans="1:11" s="160" customFormat="1" ht="16.5" customHeight="1" x14ac:dyDescent="0.2">
      <c r="A7" s="156"/>
      <c r="B7" s="163" t="s">
        <v>394</v>
      </c>
      <c r="C7" s="164">
        <f>SUM(C8:C15)</f>
        <v>154606.60833333334</v>
      </c>
      <c r="D7" s="164">
        <f>SUM(D8:D15)</f>
        <v>135680.34899999999</v>
      </c>
      <c r="E7" s="164">
        <f>SUM(E8:E15)</f>
        <v>138393.95597999997</v>
      </c>
      <c r="F7" s="147"/>
      <c r="G7" s="164">
        <f>SUM(G8:G15)</f>
        <v>133019.95000000001</v>
      </c>
      <c r="H7" s="147"/>
      <c r="J7" s="155"/>
    </row>
    <row r="8" spans="1:11" s="160" customFormat="1" ht="16.5" customHeight="1" x14ac:dyDescent="0.2">
      <c r="A8" s="156"/>
      <c r="B8" s="233" t="s">
        <v>310</v>
      </c>
      <c r="C8" s="186">
        <f>G8/Lengte_BKJ1*Aantal_maanden_BKJ1</f>
        <v>63904.691666666666</v>
      </c>
      <c r="D8" s="187">
        <f t="shared" ref="D8:D13" si="0">G8*1.02</f>
        <v>55870.958999999995</v>
      </c>
      <c r="E8" s="187">
        <f t="shared" ref="E8:E13" si="1">D8*1.02</f>
        <v>56988.37818</v>
      </c>
      <c r="F8" s="188"/>
      <c r="G8" s="190">
        <v>54775.45</v>
      </c>
      <c r="H8" s="188" t="s">
        <v>247</v>
      </c>
      <c r="J8" s="155"/>
    </row>
    <row r="9" spans="1:11" s="160" customFormat="1" ht="16.5" customHeight="1" x14ac:dyDescent="0.2">
      <c r="A9" s="156"/>
      <c r="B9" s="233" t="s">
        <v>390</v>
      </c>
      <c r="C9" s="187">
        <f>G9/12*Aantal_maanden_BKJ1</f>
        <v>53300.916666666672</v>
      </c>
      <c r="D9" s="150">
        <f t="shared" si="0"/>
        <v>46600.23</v>
      </c>
      <c r="E9" s="187">
        <f t="shared" si="1"/>
        <v>47532.234600000003</v>
      </c>
      <c r="F9" s="188"/>
      <c r="G9" s="190">
        <v>45686.5</v>
      </c>
      <c r="H9" s="188" t="s">
        <v>247</v>
      </c>
      <c r="J9" s="155"/>
    </row>
    <row r="10" spans="1:11" s="160" customFormat="1" ht="16.5" customHeight="1" x14ac:dyDescent="0.2">
      <c r="A10" s="156"/>
      <c r="B10" s="233" t="s">
        <v>391</v>
      </c>
      <c r="C10" s="187">
        <f>G10/12*Aantal_maanden_BKJ1</f>
        <v>6601</v>
      </c>
      <c r="D10" s="150">
        <f t="shared" si="0"/>
        <v>5771.16</v>
      </c>
      <c r="E10" s="187">
        <f t="shared" si="1"/>
        <v>5886.5832</v>
      </c>
      <c r="F10" s="188"/>
      <c r="G10" s="190">
        <v>5658</v>
      </c>
      <c r="H10" s="188" t="s">
        <v>247</v>
      </c>
      <c r="J10" s="155"/>
    </row>
    <row r="11" spans="1:11" s="160" customFormat="1" ht="16.5" customHeight="1" x14ac:dyDescent="0.2">
      <c r="A11" s="156"/>
      <c r="B11" s="233" t="s">
        <v>392</v>
      </c>
      <c r="C11" s="187">
        <f>G11/12*Aantal_maanden_BKJ1</f>
        <v>25200</v>
      </c>
      <c r="D11" s="150">
        <f t="shared" si="0"/>
        <v>22032</v>
      </c>
      <c r="E11" s="187">
        <f t="shared" si="1"/>
        <v>22472.639999999999</v>
      </c>
      <c r="F11" s="188"/>
      <c r="G11" s="190">
        <v>21600</v>
      </c>
      <c r="H11" s="188" t="s">
        <v>247</v>
      </c>
      <c r="J11" s="155"/>
    </row>
    <row r="12" spans="1:11" s="160" customFormat="1" ht="16.5" customHeight="1" x14ac:dyDescent="0.2">
      <c r="A12" s="156"/>
      <c r="B12" s="233" t="s">
        <v>393</v>
      </c>
      <c r="C12" s="187">
        <f>G12/12*Aantal_maanden_BKJ1</f>
        <v>2100</v>
      </c>
      <c r="D12" s="150">
        <f t="shared" si="0"/>
        <v>1836</v>
      </c>
      <c r="E12" s="187">
        <f t="shared" si="1"/>
        <v>1872.72</v>
      </c>
      <c r="F12" s="188"/>
      <c r="G12" s="190">
        <v>1800</v>
      </c>
      <c r="H12" s="188" t="s">
        <v>247</v>
      </c>
      <c r="J12" s="155"/>
    </row>
    <row r="13" spans="1:11" s="160" customFormat="1" ht="16.5" customHeight="1" x14ac:dyDescent="0.2">
      <c r="A13" s="156"/>
      <c r="B13" s="233" t="s">
        <v>405</v>
      </c>
      <c r="C13" s="187">
        <v>3500</v>
      </c>
      <c r="D13" s="150">
        <f t="shared" si="0"/>
        <v>3570</v>
      </c>
      <c r="E13" s="187">
        <f t="shared" si="1"/>
        <v>3641.4</v>
      </c>
      <c r="F13" s="188"/>
      <c r="G13" s="190">
        <v>3500</v>
      </c>
      <c r="H13" s="188" t="s">
        <v>247</v>
      </c>
      <c r="J13" s="155"/>
    </row>
    <row r="14" spans="1:11" s="160" customFormat="1" ht="16.5" customHeight="1" x14ac:dyDescent="0.2">
      <c r="A14" s="156"/>
      <c r="B14" s="233"/>
      <c r="C14" s="187"/>
      <c r="D14" s="150"/>
      <c r="E14" s="187"/>
      <c r="F14" s="188"/>
      <c r="G14" s="190"/>
      <c r="H14" s="188"/>
      <c r="J14" s="155"/>
    </row>
    <row r="15" spans="1:11" s="160" customFormat="1" ht="16.5" customHeight="1" x14ac:dyDescent="0.2">
      <c r="A15" s="156"/>
      <c r="B15" s="170"/>
      <c r="C15" s="150"/>
      <c r="D15" s="150"/>
      <c r="E15" s="150"/>
      <c r="F15" s="147"/>
      <c r="G15" s="150"/>
      <c r="H15" s="147"/>
      <c r="J15" s="155"/>
    </row>
    <row r="16" spans="1:11" s="160" customFormat="1" ht="16.5" customHeight="1" x14ac:dyDescent="0.2">
      <c r="A16" s="156"/>
      <c r="B16" s="163" t="s">
        <v>385</v>
      </c>
      <c r="C16" s="164">
        <f>SUM(C17:C24)</f>
        <v>32393.41</v>
      </c>
      <c r="D16" s="164">
        <f>SUM(D17:D24)</f>
        <v>28831.095600000001</v>
      </c>
      <c r="E16" s="164">
        <f>SUM(E17:E24)</f>
        <v>29407.717512000003</v>
      </c>
      <c r="F16" s="147"/>
      <c r="G16" s="164">
        <f>SUM(G17:G24)</f>
        <v>28265.780000000002</v>
      </c>
      <c r="H16" s="147"/>
      <c r="J16" s="155"/>
    </row>
    <row r="17" spans="1:11" s="160" customFormat="1" ht="16.5" customHeight="1" x14ac:dyDescent="0.2">
      <c r="A17" s="156"/>
      <c r="B17" s="233" t="s">
        <v>398</v>
      </c>
      <c r="C17" s="186">
        <f>G17/Lengte_BKJ1*Aantal_maanden_BKJ1</f>
        <v>14598.733333333334</v>
      </c>
      <c r="D17" s="187">
        <f t="shared" ref="D17:D18" si="2">G17*1.02</f>
        <v>12763.464000000002</v>
      </c>
      <c r="E17" s="187">
        <f t="shared" ref="E17:E18" si="3">D17*1.02</f>
        <v>13018.733280000002</v>
      </c>
      <c r="F17" s="188"/>
      <c r="G17" s="190">
        <v>12513.2</v>
      </c>
      <c r="H17" s="188" t="s">
        <v>247</v>
      </c>
      <c r="J17" s="155"/>
    </row>
    <row r="18" spans="1:11" s="160" customFormat="1" ht="16.5" customHeight="1" x14ac:dyDescent="0.2">
      <c r="A18" s="156"/>
      <c r="B18" s="233" t="s">
        <v>399</v>
      </c>
      <c r="C18" s="187">
        <f>G18/12*Aantal_maanden_BKJ1</f>
        <v>9583.8516666666674</v>
      </c>
      <c r="D18" s="150">
        <f t="shared" si="2"/>
        <v>8379.0245999999988</v>
      </c>
      <c r="E18" s="187">
        <f t="shared" si="3"/>
        <v>8546.6050919999998</v>
      </c>
      <c r="F18" s="188"/>
      <c r="G18" s="190">
        <v>8214.73</v>
      </c>
      <c r="H18" s="188" t="s">
        <v>247</v>
      </c>
      <c r="J18" s="155"/>
    </row>
    <row r="19" spans="1:11" s="160" customFormat="1" ht="16.5" customHeight="1" x14ac:dyDescent="0.2">
      <c r="A19" s="156"/>
      <c r="B19" s="233" t="s">
        <v>400</v>
      </c>
      <c r="C19" s="187">
        <f>G19/12*Aantal_maanden_BKJ1</f>
        <v>899.10333333333324</v>
      </c>
      <c r="D19" s="150">
        <f t="shared" ref="D19:D23" si="4">G19*1.02</f>
        <v>786.07319999999993</v>
      </c>
      <c r="E19" s="187">
        <f t="shared" ref="E19:E23" si="5">D19*1.02</f>
        <v>801.7946639999999</v>
      </c>
      <c r="F19" s="188"/>
      <c r="G19" s="190">
        <v>770.66</v>
      </c>
      <c r="H19" s="188" t="s">
        <v>247</v>
      </c>
      <c r="J19" s="155"/>
    </row>
    <row r="20" spans="1:11" s="160" customFormat="1" ht="16.5" customHeight="1" x14ac:dyDescent="0.2">
      <c r="A20" s="156"/>
      <c r="B20" s="233" t="s">
        <v>401</v>
      </c>
      <c r="C20" s="187">
        <f>G20/12*Aantal_maanden_BKJ1</f>
        <v>438.34000000000003</v>
      </c>
      <c r="D20" s="150">
        <f t="shared" si="4"/>
        <v>383.23440000000005</v>
      </c>
      <c r="E20" s="187">
        <f t="shared" si="5"/>
        <v>390.89908800000006</v>
      </c>
      <c r="F20" s="188"/>
      <c r="G20" s="190">
        <v>375.72</v>
      </c>
      <c r="H20" s="188" t="s">
        <v>247</v>
      </c>
      <c r="J20" s="155"/>
    </row>
    <row r="21" spans="1:11" s="160" customFormat="1" ht="16.5" customHeight="1" x14ac:dyDescent="0.2">
      <c r="A21" s="156"/>
      <c r="B21" s="233" t="s">
        <v>402</v>
      </c>
      <c r="C21" s="187">
        <f>G21/12*Aantal_maanden_BKJ1</f>
        <v>650.11333333333334</v>
      </c>
      <c r="D21" s="150">
        <f t="shared" si="4"/>
        <v>568.38480000000004</v>
      </c>
      <c r="E21" s="187">
        <f t="shared" si="5"/>
        <v>579.75249600000006</v>
      </c>
      <c r="F21" s="188"/>
      <c r="G21" s="190">
        <v>557.24</v>
      </c>
      <c r="H21" s="188"/>
      <c r="J21" s="155"/>
    </row>
    <row r="22" spans="1:11" s="160" customFormat="1" ht="16.5" customHeight="1" x14ac:dyDescent="0.2">
      <c r="A22" s="156"/>
      <c r="B22" s="233" t="s">
        <v>240</v>
      </c>
      <c r="C22" s="187">
        <f>G22/12*Aantal_maanden_BKJ1</f>
        <v>2723.2683333333334</v>
      </c>
      <c r="D22" s="150">
        <f t="shared" si="4"/>
        <v>2380.9146000000001</v>
      </c>
      <c r="E22" s="187">
        <f t="shared" si="5"/>
        <v>2428.5328920000002</v>
      </c>
      <c r="F22" s="188"/>
      <c r="G22" s="190">
        <v>2334.23</v>
      </c>
      <c r="H22" s="188" t="s">
        <v>247</v>
      </c>
      <c r="J22" s="155"/>
    </row>
    <row r="23" spans="1:11" s="160" customFormat="1" ht="16.5" customHeight="1" x14ac:dyDescent="0.2">
      <c r="A23" s="156"/>
      <c r="B23" s="233" t="s">
        <v>406</v>
      </c>
      <c r="C23" s="187">
        <v>3500</v>
      </c>
      <c r="D23" s="150">
        <f t="shared" si="4"/>
        <v>3570</v>
      </c>
      <c r="E23" s="187">
        <f t="shared" si="5"/>
        <v>3641.4</v>
      </c>
      <c r="F23" s="188"/>
      <c r="G23" s="190">
        <v>3500</v>
      </c>
      <c r="H23" s="188"/>
      <c r="J23" s="155"/>
    </row>
    <row r="24" spans="1:11" s="160" customFormat="1" ht="16.5" customHeight="1" x14ac:dyDescent="0.2">
      <c r="A24" s="156"/>
      <c r="J24" s="155"/>
    </row>
    <row r="25" spans="1:11" s="160" customFormat="1" ht="16.5" customHeight="1" x14ac:dyDescent="0.2">
      <c r="A25" s="156"/>
      <c r="B25" s="163" t="s">
        <v>396</v>
      </c>
      <c r="C25" s="164">
        <f>C7-C16</f>
        <v>122213.19833333333</v>
      </c>
      <c r="D25" s="164">
        <f>D7-D16</f>
        <v>106849.25339999999</v>
      </c>
      <c r="E25" s="164">
        <f>E7-E16</f>
        <v>108986.23846799997</v>
      </c>
      <c r="F25" s="147"/>
      <c r="G25" s="164">
        <f>G7-G16</f>
        <v>104754.17000000001</v>
      </c>
      <c r="J25" s="155"/>
    </row>
    <row r="26" spans="1:11" s="160" customFormat="1" ht="16.5" customHeight="1" x14ac:dyDescent="0.2">
      <c r="A26" s="156"/>
      <c r="B26" s="163" t="s">
        <v>395</v>
      </c>
      <c r="C26" s="241">
        <f>C25/C16</f>
        <v>3.7727796589903111</v>
      </c>
      <c r="D26" s="241">
        <f>D25/D16</f>
        <v>3.7060420763198465</v>
      </c>
      <c r="E26" s="241">
        <f>E25/E16</f>
        <v>3.7060420763198452</v>
      </c>
      <c r="F26" s="242"/>
      <c r="G26" s="241">
        <f>G25/G16</f>
        <v>3.7060420763198469</v>
      </c>
      <c r="J26" s="155"/>
    </row>
    <row r="27" spans="1:11" s="160" customFormat="1" ht="16.5" customHeight="1" x14ac:dyDescent="0.2">
      <c r="A27" s="156"/>
      <c r="B27" s="161"/>
      <c r="C27" s="153"/>
      <c r="D27" s="153"/>
      <c r="E27" s="153"/>
      <c r="F27" s="159"/>
      <c r="G27" s="162"/>
      <c r="J27" s="155"/>
      <c r="K27" s="147"/>
    </row>
    <row r="28" spans="1:11" s="160" customFormat="1" ht="16.5" customHeight="1" x14ac:dyDescent="0.2">
      <c r="A28" s="156"/>
      <c r="B28" s="163" t="s">
        <v>84</v>
      </c>
      <c r="C28" s="164"/>
      <c r="D28" s="164">
        <v>0</v>
      </c>
      <c r="E28" s="164">
        <v>0</v>
      </c>
      <c r="F28" s="147"/>
      <c r="G28" s="164">
        <f>SUM(G29:G31)</f>
        <v>0</v>
      </c>
      <c r="H28" s="147"/>
      <c r="I28" s="147"/>
      <c r="J28" s="147"/>
      <c r="K28" s="147"/>
    </row>
    <row r="29" spans="1:11" s="160" customFormat="1" ht="16.5" customHeight="1" x14ac:dyDescent="0.2">
      <c r="A29" s="156"/>
      <c r="B29" s="145" t="s">
        <v>407</v>
      </c>
      <c r="C29" s="167">
        <f>G29/12*Aantal_maanden_BKJ1</f>
        <v>0</v>
      </c>
      <c r="D29" s="167">
        <f t="shared" ref="D29" si="6">G29*1.02</f>
        <v>0</v>
      </c>
      <c r="E29" s="167">
        <f t="shared" ref="E29" si="7">D29*1.02</f>
        <v>0</v>
      </c>
      <c r="F29" s="147"/>
      <c r="G29" s="189"/>
      <c r="H29" s="188" t="s">
        <v>247</v>
      </c>
      <c r="I29" s="147"/>
      <c r="J29" s="147"/>
      <c r="K29" s="215">
        <v>1</v>
      </c>
    </row>
    <row r="30" spans="1:11" s="160" customFormat="1" ht="16.5" customHeight="1" x14ac:dyDescent="0.2">
      <c r="A30" s="156"/>
      <c r="B30" s="191" t="s">
        <v>311</v>
      </c>
      <c r="C30" s="187">
        <f>(G30/12*Aantal_maanden_BKJ1)*K29</f>
        <v>0</v>
      </c>
      <c r="D30" s="187">
        <f>G30*1.02</f>
        <v>0</v>
      </c>
      <c r="E30" s="187">
        <f>D30*1.02</f>
        <v>0</v>
      </c>
      <c r="F30" s="188"/>
      <c r="G30" s="189"/>
      <c r="H30" s="168" t="s">
        <v>312</v>
      </c>
      <c r="I30" s="147"/>
      <c r="J30" s="168"/>
      <c r="K30" s="147"/>
    </row>
    <row r="31" spans="1:11" s="160" customFormat="1" ht="16.5" customHeight="1" x14ac:dyDescent="0.2">
      <c r="A31" s="156"/>
      <c r="B31" s="145"/>
      <c r="C31" s="166"/>
      <c r="D31" s="166"/>
      <c r="E31" s="150"/>
      <c r="F31" s="147"/>
      <c r="G31" s="166"/>
      <c r="H31" s="147"/>
      <c r="I31" s="147"/>
      <c r="J31" s="147"/>
      <c r="K31" s="147"/>
    </row>
    <row r="32" spans="1:11" s="160" customFormat="1" ht="16.5" customHeight="1" x14ac:dyDescent="0.2">
      <c r="A32" s="156"/>
      <c r="B32" s="163" t="s">
        <v>112</v>
      </c>
      <c r="C32" s="164">
        <f>SUM(C33:C34)</f>
        <v>0</v>
      </c>
      <c r="D32" s="164">
        <f t="shared" ref="D32:G32" si="8">SUM(D33:D34)</f>
        <v>0</v>
      </c>
      <c r="E32" s="164">
        <f t="shared" si="8"/>
        <v>0</v>
      </c>
      <c r="F32" s="147"/>
      <c r="G32" s="164">
        <f t="shared" si="8"/>
        <v>0</v>
      </c>
      <c r="H32" s="147"/>
      <c r="I32" s="147"/>
      <c r="J32" s="147"/>
      <c r="K32" s="147"/>
    </row>
    <row r="33" spans="1:13" s="160" customFormat="1" ht="16.5" customHeight="1" x14ac:dyDescent="0.2">
      <c r="A33" s="156"/>
      <c r="B33" s="145"/>
      <c r="C33" s="166"/>
      <c r="D33" s="166"/>
      <c r="E33" s="166"/>
      <c r="F33" s="147"/>
      <c r="G33" s="166"/>
      <c r="H33" s="147"/>
      <c r="I33" s="147"/>
      <c r="J33" s="147"/>
      <c r="K33" s="147"/>
    </row>
    <row r="34" spans="1:13" s="160" customFormat="1" ht="16.5" customHeight="1" x14ac:dyDescent="0.2">
      <c r="A34" s="156"/>
      <c r="B34" s="145"/>
      <c r="C34" s="166"/>
      <c r="D34" s="166"/>
      <c r="E34" s="150"/>
      <c r="F34" s="147"/>
      <c r="G34" s="166"/>
      <c r="H34" s="147"/>
      <c r="I34" s="147"/>
      <c r="J34" s="147"/>
      <c r="K34" s="147"/>
    </row>
    <row r="35" spans="1:13" s="160" customFormat="1" ht="16.5" customHeight="1" x14ac:dyDescent="0.2">
      <c r="A35" s="156"/>
      <c r="B35" s="152" t="s">
        <v>313</v>
      </c>
      <c r="C35" s="154">
        <f>C25+C28+C32</f>
        <v>122213.19833333333</v>
      </c>
      <c r="D35" s="154">
        <f t="shared" ref="D35:G35" si="9">D25+D28+D32</f>
        <v>106849.25339999999</v>
      </c>
      <c r="E35" s="154">
        <f t="shared" si="9"/>
        <v>108986.23846799997</v>
      </c>
      <c r="F35" s="154"/>
      <c r="G35" s="154">
        <f t="shared" si="9"/>
        <v>104754.17000000001</v>
      </c>
      <c r="H35" s="147"/>
      <c r="I35" s="147"/>
      <c r="J35" s="147"/>
      <c r="K35" s="155"/>
    </row>
    <row r="36" spans="1:13" s="160" customFormat="1" ht="16.5" customHeight="1" x14ac:dyDescent="0.2">
      <c r="A36" s="156"/>
      <c r="B36" s="170"/>
      <c r="C36" s="150"/>
      <c r="D36" s="150"/>
      <c r="E36" s="154"/>
      <c r="F36" s="155"/>
      <c r="G36" s="150"/>
      <c r="H36" s="155"/>
      <c r="I36" s="155"/>
      <c r="J36" s="155"/>
    </row>
    <row r="37" spans="1:13" ht="17" thickBot="1" x14ac:dyDescent="0.25">
      <c r="A37" s="156"/>
      <c r="B37" s="161"/>
      <c r="C37" s="153"/>
      <c r="D37" s="153"/>
      <c r="E37" s="153"/>
      <c r="F37" s="159"/>
      <c r="G37" s="162"/>
      <c r="H37" s="160"/>
      <c r="I37" s="160"/>
      <c r="J37" s="155"/>
      <c r="K37" s="160"/>
      <c r="L37" s="160"/>
      <c r="M37" s="160"/>
    </row>
    <row r="38" spans="1:13" ht="17" thickBot="1" x14ac:dyDescent="0.25">
      <c r="A38" s="156"/>
      <c r="B38" s="157" t="s">
        <v>397</v>
      </c>
      <c r="C38" s="158" t="s">
        <v>237</v>
      </c>
      <c r="D38" s="158" t="s">
        <v>315</v>
      </c>
      <c r="E38" s="234" t="s">
        <v>382</v>
      </c>
      <c r="F38" s="159"/>
      <c r="G38" s="235" t="s">
        <v>232</v>
      </c>
      <c r="H38" s="160"/>
      <c r="I38" s="160"/>
      <c r="J38" s="155"/>
      <c r="K38" s="160"/>
      <c r="L38" s="160"/>
      <c r="M38" s="160"/>
    </row>
    <row r="39" spans="1:13" ht="16" x14ac:dyDescent="0.2">
      <c r="A39" s="156"/>
      <c r="B39" s="161"/>
      <c r="C39" s="153"/>
      <c r="D39" s="153"/>
      <c r="E39" s="153"/>
      <c r="F39" s="159"/>
      <c r="G39" s="162"/>
      <c r="H39" s="160"/>
      <c r="I39" s="160"/>
      <c r="J39" s="155"/>
    </row>
    <row r="40" spans="1:13" ht="16" x14ac:dyDescent="0.2">
      <c r="A40" s="156"/>
    </row>
    <row r="41" spans="1:13" x14ac:dyDescent="0.15">
      <c r="B41" s="163" t="s">
        <v>239</v>
      </c>
      <c r="C41" s="164">
        <f>SUM(C42:C74)</f>
        <v>37008.999999999993</v>
      </c>
      <c r="D41" s="164">
        <f>SUM(D42:D74)</f>
        <v>32356.440000000002</v>
      </c>
      <c r="E41" s="164">
        <f>SUM(E42:E74)</f>
        <v>33003.568800000001</v>
      </c>
      <c r="G41" s="164">
        <f>SUM(G42:G77)</f>
        <v>15222</v>
      </c>
    </row>
    <row r="42" spans="1:13" x14ac:dyDescent="0.15">
      <c r="B42" s="185" t="s">
        <v>241</v>
      </c>
      <c r="C42" s="186">
        <f>G42*Aantal_maanden_BKJ1</f>
        <v>21000</v>
      </c>
      <c r="D42" s="187">
        <f>G42*1.02*Lengte_BKJ1</f>
        <v>18360</v>
      </c>
      <c r="E42" s="187">
        <f>D42*1.02</f>
        <v>18727.2</v>
      </c>
      <c r="F42" s="188"/>
      <c r="G42" s="189">
        <v>1500</v>
      </c>
      <c r="H42" s="188" t="s">
        <v>242</v>
      </c>
    </row>
    <row r="43" spans="1:13" x14ac:dyDescent="0.15">
      <c r="A43" s="184">
        <v>610000</v>
      </c>
      <c r="B43" s="185" t="s">
        <v>243</v>
      </c>
      <c r="C43" s="186">
        <f>G43*Aantal_maanden_BKJ1</f>
        <v>0</v>
      </c>
      <c r="D43" s="187">
        <f>G43*1.02*Lengte_BKJ1</f>
        <v>0</v>
      </c>
      <c r="E43" s="187">
        <f t="shared" ref="E43:E73" si="10">D43*1.02</f>
        <v>0</v>
      </c>
      <c r="F43" s="188"/>
      <c r="G43" s="189"/>
      <c r="H43" s="188" t="s">
        <v>242</v>
      </c>
    </row>
    <row r="44" spans="1:13" x14ac:dyDescent="0.15">
      <c r="A44" s="184">
        <v>610100</v>
      </c>
      <c r="B44" s="165" t="s">
        <v>244</v>
      </c>
      <c r="C44" s="186">
        <f>G44*Aantal_maanden_BKJ1</f>
        <v>0</v>
      </c>
      <c r="D44" s="187">
        <f>G44*1.02*Lengte_BKJ1</f>
        <v>0</v>
      </c>
      <c r="E44" s="187">
        <f t="shared" si="10"/>
        <v>0</v>
      </c>
      <c r="F44" s="188"/>
      <c r="G44" s="189"/>
      <c r="H44" s="188" t="s">
        <v>245</v>
      </c>
    </row>
    <row r="45" spans="1:13" x14ac:dyDescent="0.15">
      <c r="A45" s="184">
        <v>611200</v>
      </c>
      <c r="B45" s="169" t="s">
        <v>246</v>
      </c>
      <c r="C45" s="186">
        <f t="shared" ref="C45:C65" si="11">G45/Lengte_BKJ1*Aantal_maanden_BKJ1</f>
        <v>0</v>
      </c>
      <c r="D45" s="187">
        <f>G45*1.02</f>
        <v>0</v>
      </c>
      <c r="E45" s="187">
        <f t="shared" si="10"/>
        <v>0</v>
      </c>
      <c r="F45" s="188"/>
      <c r="G45" s="190"/>
      <c r="H45" s="188" t="s">
        <v>247</v>
      </c>
    </row>
    <row r="46" spans="1:13" x14ac:dyDescent="0.15">
      <c r="A46" s="184">
        <v>611300</v>
      </c>
      <c r="B46" s="191" t="s">
        <v>248</v>
      </c>
      <c r="C46" s="186">
        <f t="shared" si="11"/>
        <v>1554</v>
      </c>
      <c r="D46" s="187">
        <f t="shared" ref="D46:D65" si="12">G46*1.02</f>
        <v>1358.64</v>
      </c>
      <c r="E46" s="187">
        <f t="shared" si="10"/>
        <v>1385.8128000000002</v>
      </c>
      <c r="F46" s="188"/>
      <c r="G46" s="190">
        <v>1332</v>
      </c>
      <c r="H46" s="188" t="s">
        <v>247</v>
      </c>
    </row>
    <row r="47" spans="1:13" x14ac:dyDescent="0.15">
      <c r="A47" s="184">
        <v>611310</v>
      </c>
      <c r="B47" s="191" t="s">
        <v>249</v>
      </c>
      <c r="C47" s="186">
        <f t="shared" si="11"/>
        <v>0</v>
      </c>
      <c r="D47" s="187">
        <f t="shared" si="12"/>
        <v>0</v>
      </c>
      <c r="E47" s="187">
        <f t="shared" si="10"/>
        <v>0</v>
      </c>
      <c r="F47" s="188"/>
      <c r="G47" s="190"/>
      <c r="H47" s="188" t="s">
        <v>247</v>
      </c>
    </row>
    <row r="48" spans="1:13" x14ac:dyDescent="0.15">
      <c r="A48" s="184">
        <v>611340</v>
      </c>
      <c r="B48" s="168" t="s">
        <v>250</v>
      </c>
      <c r="C48" s="186">
        <f t="shared" si="11"/>
        <v>6766.6666666666661</v>
      </c>
      <c r="D48" s="187">
        <f t="shared" si="12"/>
        <v>5916</v>
      </c>
      <c r="E48" s="187">
        <f t="shared" si="10"/>
        <v>6034.32</v>
      </c>
      <c r="F48" s="188"/>
      <c r="G48" s="190">
        <f>3600+1200+1000</f>
        <v>5800</v>
      </c>
      <c r="H48" s="188" t="s">
        <v>247</v>
      </c>
    </row>
    <row r="49" spans="1:10" x14ac:dyDescent="0.15">
      <c r="A49" s="184">
        <v>612100</v>
      </c>
      <c r="B49" s="188" t="s">
        <v>251</v>
      </c>
      <c r="C49" s="186">
        <f t="shared" si="11"/>
        <v>0</v>
      </c>
      <c r="D49" s="187">
        <f t="shared" si="12"/>
        <v>0</v>
      </c>
      <c r="E49" s="187">
        <f t="shared" si="10"/>
        <v>0</v>
      </c>
      <c r="F49" s="188"/>
      <c r="G49" s="190"/>
      <c r="H49" s="188" t="s">
        <v>247</v>
      </c>
    </row>
    <row r="50" spans="1:10" x14ac:dyDescent="0.15">
      <c r="A50" s="184">
        <v>612170</v>
      </c>
      <c r="B50" s="191" t="s">
        <v>252</v>
      </c>
      <c r="C50" s="186">
        <f t="shared" si="11"/>
        <v>58.333333333333336</v>
      </c>
      <c r="D50" s="187">
        <f t="shared" si="12"/>
        <v>51</v>
      </c>
      <c r="E50" s="187">
        <f t="shared" si="10"/>
        <v>52.02</v>
      </c>
      <c r="F50" s="188"/>
      <c r="G50" s="190">
        <v>50</v>
      </c>
      <c r="H50" s="188" t="s">
        <v>247</v>
      </c>
    </row>
    <row r="51" spans="1:10" x14ac:dyDescent="0.15">
      <c r="A51" s="184">
        <v>612200</v>
      </c>
      <c r="B51" s="191" t="s">
        <v>253</v>
      </c>
      <c r="C51" s="186">
        <f t="shared" si="11"/>
        <v>58.333333333333336</v>
      </c>
      <c r="D51" s="187">
        <f t="shared" si="12"/>
        <v>51</v>
      </c>
      <c r="E51" s="187">
        <f t="shared" si="10"/>
        <v>52.02</v>
      </c>
      <c r="F51" s="188"/>
      <c r="G51" s="190">
        <v>50</v>
      </c>
      <c r="H51" s="188" t="s">
        <v>247</v>
      </c>
    </row>
    <row r="52" spans="1:10" x14ac:dyDescent="0.15">
      <c r="A52" s="184">
        <v>612210</v>
      </c>
      <c r="B52" s="169" t="s">
        <v>254</v>
      </c>
      <c r="C52" s="186">
        <f t="shared" si="11"/>
        <v>0</v>
      </c>
      <c r="D52" s="187">
        <f t="shared" si="12"/>
        <v>0</v>
      </c>
      <c r="E52" s="187">
        <f t="shared" si="10"/>
        <v>0</v>
      </c>
      <c r="F52" s="188"/>
      <c r="G52" s="190">
        <v>0</v>
      </c>
      <c r="H52" s="188" t="s">
        <v>247</v>
      </c>
    </row>
    <row r="53" spans="1:10" x14ac:dyDescent="0.15">
      <c r="A53" s="184">
        <v>612300</v>
      </c>
      <c r="B53" s="191" t="s">
        <v>255</v>
      </c>
      <c r="C53" s="186">
        <f t="shared" si="11"/>
        <v>2916.666666666667</v>
      </c>
      <c r="D53" s="187">
        <f t="shared" si="12"/>
        <v>2550</v>
      </c>
      <c r="E53" s="187">
        <f t="shared" si="10"/>
        <v>2601</v>
      </c>
      <c r="F53" s="188"/>
      <c r="G53" s="190">
        <v>2500</v>
      </c>
      <c r="H53" s="188" t="s">
        <v>247</v>
      </c>
    </row>
    <row r="54" spans="1:10" x14ac:dyDescent="0.15">
      <c r="A54" s="184">
        <v>612400</v>
      </c>
      <c r="B54" s="191" t="s">
        <v>256</v>
      </c>
      <c r="C54" s="186">
        <f t="shared" si="11"/>
        <v>58.333333333333336</v>
      </c>
      <c r="D54" s="187">
        <f t="shared" si="12"/>
        <v>51</v>
      </c>
      <c r="E54" s="187">
        <f t="shared" si="10"/>
        <v>52.02</v>
      </c>
      <c r="F54" s="188"/>
      <c r="G54" s="190">
        <v>50</v>
      </c>
      <c r="H54" s="188" t="s">
        <v>247</v>
      </c>
    </row>
    <row r="55" spans="1:10" x14ac:dyDescent="0.15">
      <c r="A55" s="184">
        <v>612420</v>
      </c>
      <c r="B55" s="191" t="s">
        <v>257</v>
      </c>
      <c r="C55" s="186">
        <f t="shared" si="11"/>
        <v>116.66666666666667</v>
      </c>
      <c r="D55" s="187">
        <f t="shared" si="12"/>
        <v>102</v>
      </c>
      <c r="E55" s="187">
        <f t="shared" si="10"/>
        <v>104.04</v>
      </c>
      <c r="F55" s="188"/>
      <c r="G55" s="190">
        <v>100</v>
      </c>
      <c r="H55" s="188" t="s">
        <v>247</v>
      </c>
    </row>
    <row r="56" spans="1:10" x14ac:dyDescent="0.15">
      <c r="A56" s="184">
        <v>612430</v>
      </c>
      <c r="B56" s="191" t="s">
        <v>258</v>
      </c>
      <c r="C56" s="186">
        <f t="shared" si="11"/>
        <v>840</v>
      </c>
      <c r="D56" s="187">
        <f t="shared" si="12"/>
        <v>734.4</v>
      </c>
      <c r="E56" s="187">
        <f t="shared" si="10"/>
        <v>749.08799999999997</v>
      </c>
      <c r="F56" s="188"/>
      <c r="G56" s="190">
        <v>720</v>
      </c>
      <c r="H56" s="188" t="s">
        <v>247</v>
      </c>
    </row>
    <row r="57" spans="1:10" x14ac:dyDescent="0.15">
      <c r="A57" s="184">
        <v>612500</v>
      </c>
      <c r="B57" s="191" t="s">
        <v>259</v>
      </c>
      <c r="C57" s="186">
        <f t="shared" si="11"/>
        <v>0</v>
      </c>
      <c r="D57" s="187">
        <f t="shared" si="12"/>
        <v>0</v>
      </c>
      <c r="E57" s="187">
        <f t="shared" si="10"/>
        <v>0</v>
      </c>
      <c r="F57" s="188"/>
      <c r="G57" s="190"/>
      <c r="H57" s="188" t="s">
        <v>247</v>
      </c>
    </row>
    <row r="58" spans="1:10" x14ac:dyDescent="0.15">
      <c r="A58" s="184">
        <v>612530</v>
      </c>
      <c r="B58" s="191" t="s">
        <v>260</v>
      </c>
      <c r="C58" s="186">
        <f t="shared" si="11"/>
        <v>0</v>
      </c>
      <c r="D58" s="187">
        <f t="shared" si="12"/>
        <v>0</v>
      </c>
      <c r="E58" s="187">
        <f t="shared" si="10"/>
        <v>0</v>
      </c>
      <c r="F58" s="188"/>
      <c r="G58" s="190"/>
      <c r="H58" s="188" t="s">
        <v>247</v>
      </c>
    </row>
    <row r="59" spans="1:10" x14ac:dyDescent="0.15">
      <c r="A59" s="184">
        <v>613200</v>
      </c>
      <c r="B59" s="191" t="s">
        <v>261</v>
      </c>
      <c r="C59" s="186">
        <f t="shared" si="11"/>
        <v>0</v>
      </c>
      <c r="D59" s="187">
        <f t="shared" si="12"/>
        <v>0</v>
      </c>
      <c r="E59" s="187">
        <f t="shared" si="10"/>
        <v>0</v>
      </c>
      <c r="F59" s="188"/>
      <c r="G59" s="190"/>
      <c r="H59" s="188" t="s">
        <v>247</v>
      </c>
      <c r="J59" s="147" t="s">
        <v>404</v>
      </c>
    </row>
    <row r="60" spans="1:10" x14ac:dyDescent="0.15">
      <c r="A60" s="184">
        <v>613290</v>
      </c>
      <c r="B60" s="191" t="s">
        <v>388</v>
      </c>
      <c r="C60" s="186">
        <f t="shared" ref="C60" si="13">G60/Lengte_BKJ1*Aantal_maanden_BKJ1</f>
        <v>0</v>
      </c>
      <c r="D60" s="187">
        <f t="shared" ref="D60" si="14">G60*1.02</f>
        <v>0</v>
      </c>
      <c r="E60" s="187">
        <f t="shared" ref="E60" si="15">D60*1.02</f>
        <v>0</v>
      </c>
      <c r="F60" s="188"/>
      <c r="G60" s="190"/>
      <c r="H60" s="188" t="s">
        <v>247</v>
      </c>
    </row>
    <row r="61" spans="1:10" x14ac:dyDescent="0.15">
      <c r="A61" s="184">
        <v>613300</v>
      </c>
      <c r="B61" s="191" t="s">
        <v>262</v>
      </c>
      <c r="C61" s="186">
        <f t="shared" si="11"/>
        <v>1190</v>
      </c>
      <c r="D61" s="187">
        <f t="shared" si="12"/>
        <v>1040.4000000000001</v>
      </c>
      <c r="E61" s="187">
        <f t="shared" si="10"/>
        <v>1061.2080000000001</v>
      </c>
      <c r="F61" s="188"/>
      <c r="G61" s="190">
        <v>1020</v>
      </c>
      <c r="H61" s="188" t="s">
        <v>247</v>
      </c>
    </row>
    <row r="62" spans="1:10" x14ac:dyDescent="0.15">
      <c r="A62" s="184">
        <v>613500</v>
      </c>
      <c r="B62" s="191" t="s">
        <v>263</v>
      </c>
      <c r="C62" s="186">
        <f t="shared" si="11"/>
        <v>1516.6666666666665</v>
      </c>
      <c r="D62" s="187">
        <f t="shared" si="12"/>
        <v>1326</v>
      </c>
      <c r="E62" s="187">
        <f t="shared" si="10"/>
        <v>1352.52</v>
      </c>
      <c r="F62" s="188"/>
      <c r="G62" s="190">
        <v>1300</v>
      </c>
      <c r="H62" s="188" t="s">
        <v>247</v>
      </c>
    </row>
    <row r="63" spans="1:10" x14ac:dyDescent="0.15">
      <c r="A63" s="184">
        <v>613540</v>
      </c>
      <c r="B63" s="169" t="s">
        <v>264</v>
      </c>
      <c r="C63" s="186">
        <f t="shared" si="11"/>
        <v>291.66666666666663</v>
      </c>
      <c r="D63" s="187">
        <f t="shared" si="12"/>
        <v>255</v>
      </c>
      <c r="E63" s="187">
        <f t="shared" si="10"/>
        <v>260.10000000000002</v>
      </c>
      <c r="F63" s="188"/>
      <c r="G63" s="190">
        <v>250</v>
      </c>
      <c r="H63" s="188" t="s">
        <v>247</v>
      </c>
    </row>
    <row r="64" spans="1:10" x14ac:dyDescent="0.15">
      <c r="A64" s="184">
        <v>615100</v>
      </c>
      <c r="B64" s="169" t="s">
        <v>265</v>
      </c>
      <c r="C64" s="186">
        <f t="shared" si="11"/>
        <v>0</v>
      </c>
      <c r="D64" s="187">
        <f t="shared" si="12"/>
        <v>0</v>
      </c>
      <c r="E64" s="187">
        <f t="shared" si="10"/>
        <v>0</v>
      </c>
      <c r="F64" s="188"/>
      <c r="G64" s="190"/>
      <c r="H64" s="188" t="s">
        <v>247</v>
      </c>
    </row>
    <row r="65" spans="1:16" x14ac:dyDescent="0.15">
      <c r="A65" s="184">
        <v>615102</v>
      </c>
      <c r="B65" s="191" t="s">
        <v>266</v>
      </c>
      <c r="C65" s="186">
        <f t="shared" si="11"/>
        <v>0</v>
      </c>
      <c r="D65" s="187">
        <f t="shared" si="12"/>
        <v>0</v>
      </c>
      <c r="E65" s="187">
        <f t="shared" si="10"/>
        <v>0</v>
      </c>
      <c r="F65" s="188"/>
      <c r="G65" s="190"/>
      <c r="H65" s="188" t="s">
        <v>247</v>
      </c>
      <c r="K65" s="210">
        <v>1</v>
      </c>
    </row>
    <row r="66" spans="1:16" x14ac:dyDescent="0.15">
      <c r="A66" s="184">
        <v>615110</v>
      </c>
      <c r="B66" s="169" t="s">
        <v>267</v>
      </c>
      <c r="C66" s="187">
        <f>G66*Aantal_maanden_BKJ1*K65</f>
        <v>0</v>
      </c>
      <c r="D66" s="187">
        <f>G66*1.02*Lengte_BKJ1*K65</f>
        <v>0</v>
      </c>
      <c r="E66" s="187">
        <f>D66*1.02*K65</f>
        <v>0</v>
      </c>
      <c r="F66" s="188"/>
      <c r="G66" s="190"/>
      <c r="H66" s="168" t="s">
        <v>268</v>
      </c>
    </row>
    <row r="67" spans="1:16" x14ac:dyDescent="0.15">
      <c r="A67" s="184">
        <v>615114</v>
      </c>
      <c r="B67" s="191" t="s">
        <v>269</v>
      </c>
      <c r="C67" s="186">
        <f t="shared" ref="C67:C73" si="16">G67/Lengte_BKJ1*Aantal_maanden_BKJ1</f>
        <v>0</v>
      </c>
      <c r="D67" s="187">
        <f t="shared" ref="D67:D73" si="17">G67*1.02</f>
        <v>0</v>
      </c>
      <c r="E67" s="187">
        <f t="shared" si="10"/>
        <v>0</v>
      </c>
      <c r="F67" s="188"/>
      <c r="G67" s="190"/>
      <c r="H67" s="188" t="s">
        <v>247</v>
      </c>
    </row>
    <row r="68" spans="1:16" x14ac:dyDescent="0.15">
      <c r="A68" s="184">
        <v>615115</v>
      </c>
      <c r="B68" s="169" t="s">
        <v>270</v>
      </c>
      <c r="C68" s="186">
        <f t="shared" si="16"/>
        <v>0</v>
      </c>
      <c r="D68" s="187">
        <f t="shared" si="17"/>
        <v>0</v>
      </c>
      <c r="E68" s="187">
        <f t="shared" si="10"/>
        <v>0</v>
      </c>
      <c r="F68" s="188"/>
      <c r="G68" s="190"/>
      <c r="H68" s="188" t="s">
        <v>247</v>
      </c>
    </row>
    <row r="69" spans="1:16" x14ac:dyDescent="0.15">
      <c r="A69" s="184">
        <v>615120</v>
      </c>
      <c r="B69" s="169" t="s">
        <v>271</v>
      </c>
      <c r="C69" s="186">
        <f t="shared" si="16"/>
        <v>175</v>
      </c>
      <c r="D69" s="187">
        <f t="shared" si="17"/>
        <v>153</v>
      </c>
      <c r="E69" s="187">
        <f t="shared" si="10"/>
        <v>156.06</v>
      </c>
      <c r="F69" s="188"/>
      <c r="G69" s="190">
        <v>150</v>
      </c>
      <c r="H69" s="188" t="s">
        <v>247</v>
      </c>
    </row>
    <row r="70" spans="1:16" x14ac:dyDescent="0.15">
      <c r="A70" s="184">
        <v>615200</v>
      </c>
      <c r="B70" s="169" t="s">
        <v>272</v>
      </c>
      <c r="C70" s="186">
        <f t="shared" si="16"/>
        <v>0</v>
      </c>
      <c r="D70" s="187">
        <f t="shared" si="17"/>
        <v>0</v>
      </c>
      <c r="E70" s="187">
        <f t="shared" si="10"/>
        <v>0</v>
      </c>
      <c r="F70" s="188"/>
      <c r="G70" s="190"/>
      <c r="H70" s="188" t="s">
        <v>247</v>
      </c>
    </row>
    <row r="71" spans="1:16" x14ac:dyDescent="0.15">
      <c r="A71" s="184">
        <v>615210</v>
      </c>
      <c r="B71" s="169" t="s">
        <v>273</v>
      </c>
      <c r="C71" s="186">
        <f t="shared" si="16"/>
        <v>0</v>
      </c>
      <c r="D71" s="187">
        <f t="shared" si="17"/>
        <v>0</v>
      </c>
      <c r="E71" s="187">
        <f t="shared" si="10"/>
        <v>0</v>
      </c>
      <c r="F71" s="188"/>
      <c r="G71" s="190"/>
      <c r="H71" s="188" t="s">
        <v>247</v>
      </c>
    </row>
    <row r="72" spans="1:16" x14ac:dyDescent="0.15">
      <c r="A72" s="184">
        <v>615220</v>
      </c>
      <c r="B72" s="169" t="s">
        <v>274</v>
      </c>
      <c r="C72" s="186">
        <f t="shared" si="16"/>
        <v>291.66666666666663</v>
      </c>
      <c r="D72" s="187">
        <f t="shared" si="17"/>
        <v>255</v>
      </c>
      <c r="E72" s="187">
        <f t="shared" si="10"/>
        <v>260.10000000000002</v>
      </c>
      <c r="F72" s="188"/>
      <c r="G72" s="190">
        <v>250</v>
      </c>
      <c r="H72" s="188" t="s">
        <v>247</v>
      </c>
    </row>
    <row r="73" spans="1:16" x14ac:dyDescent="0.15">
      <c r="A73" s="184">
        <v>615300</v>
      </c>
      <c r="B73" s="169" t="s">
        <v>275</v>
      </c>
      <c r="C73" s="186">
        <f t="shared" si="16"/>
        <v>175</v>
      </c>
      <c r="D73" s="187">
        <f t="shared" si="17"/>
        <v>153</v>
      </c>
      <c r="E73" s="187">
        <f t="shared" si="10"/>
        <v>156.06</v>
      </c>
      <c r="F73" s="188"/>
      <c r="G73" s="190">
        <v>150</v>
      </c>
      <c r="H73" s="188" t="s">
        <v>247</v>
      </c>
      <c r="N73" s="188"/>
      <c r="O73" s="188"/>
      <c r="P73" s="188"/>
    </row>
    <row r="74" spans="1:16" x14ac:dyDescent="0.15">
      <c r="A74" s="184">
        <v>615400</v>
      </c>
      <c r="B74" s="169"/>
      <c r="D74" s="187"/>
      <c r="N74" s="188"/>
      <c r="O74" s="188"/>
      <c r="P74" s="188"/>
    </row>
    <row r="75" spans="1:16" x14ac:dyDescent="0.15">
      <c r="B75" s="171" t="s">
        <v>276</v>
      </c>
      <c r="C75" s="164">
        <f>SUM(C76:C79)</f>
        <v>0</v>
      </c>
      <c r="D75" s="164">
        <f>SUM(D76:D79)</f>
        <v>0</v>
      </c>
      <c r="E75" s="164">
        <f>SUM(E76:E79)</f>
        <v>0</v>
      </c>
      <c r="G75" s="164">
        <f>SUM(G76:G78)</f>
        <v>0</v>
      </c>
      <c r="K75" s="210">
        <v>1</v>
      </c>
      <c r="L75" s="188"/>
      <c r="M75" s="188"/>
      <c r="N75" s="188"/>
      <c r="O75" s="188"/>
      <c r="P75" s="188"/>
    </row>
    <row r="76" spans="1:16" x14ac:dyDescent="0.15">
      <c r="B76" s="165" t="s">
        <v>276</v>
      </c>
      <c r="C76" s="187">
        <f>G76*Aantal_maanden_BKJ1*K75</f>
        <v>0</v>
      </c>
      <c r="D76" s="187">
        <f>G76*1.02*Lengte_BKJ1*K75</f>
        <v>0</v>
      </c>
      <c r="E76" s="187">
        <f>D76*1.02*K75</f>
        <v>0</v>
      </c>
      <c r="G76" s="190"/>
      <c r="H76" s="168" t="s">
        <v>268</v>
      </c>
      <c r="I76" s="188"/>
      <c r="J76" s="188"/>
      <c r="K76" s="188"/>
      <c r="L76" s="188"/>
      <c r="M76" s="188"/>
    </row>
    <row r="77" spans="1:16" x14ac:dyDescent="0.15">
      <c r="A77" s="184">
        <v>618000</v>
      </c>
      <c r="B77" s="169" t="s">
        <v>277</v>
      </c>
      <c r="C77" s="187">
        <f>C76*0.21</f>
        <v>0</v>
      </c>
      <c r="D77" s="150">
        <f t="shared" ref="D77" si="18">D76*0.21</f>
        <v>0</v>
      </c>
      <c r="E77" s="187">
        <f t="shared" ref="E77" si="19">E76*0.21</f>
        <v>0</v>
      </c>
      <c r="G77" s="188" t="s">
        <v>278</v>
      </c>
      <c r="H77" s="192" t="s">
        <v>279</v>
      </c>
      <c r="I77" s="188"/>
      <c r="J77" s="188"/>
      <c r="K77" s="188"/>
      <c r="L77" s="188"/>
      <c r="M77" s="188"/>
    </row>
    <row r="78" spans="1:16" x14ac:dyDescent="0.15">
      <c r="A78" s="184">
        <v>618100</v>
      </c>
      <c r="B78" s="169" t="s">
        <v>280</v>
      </c>
      <c r="C78" s="187">
        <f>C76*0.05</f>
        <v>0</v>
      </c>
      <c r="D78" s="150">
        <f t="shared" ref="D78" si="20">D76*0.05</f>
        <v>0</v>
      </c>
      <c r="E78" s="187">
        <f t="shared" ref="E78" si="21">E76*0.05</f>
        <v>0</v>
      </c>
      <c r="G78" s="188" t="s">
        <v>278</v>
      </c>
      <c r="H78" s="211" t="s">
        <v>281</v>
      </c>
      <c r="I78" s="188"/>
      <c r="J78" s="188"/>
    </row>
    <row r="79" spans="1:16" x14ac:dyDescent="0.15">
      <c r="A79" s="184">
        <v>618200</v>
      </c>
      <c r="B79" s="169"/>
      <c r="H79" s="173"/>
    </row>
    <row r="80" spans="1:16" x14ac:dyDescent="0.15">
      <c r="B80" s="171" t="s">
        <v>101</v>
      </c>
      <c r="C80" s="164">
        <f>SUM(C82:C90)</f>
        <v>31827.25</v>
      </c>
      <c r="D80" s="164">
        <f>SUM(D82:D90)</f>
        <v>25027.47</v>
      </c>
      <c r="E80" s="164">
        <f>SUM(E82:E90)</f>
        <v>25528.019399999997</v>
      </c>
      <c r="G80" s="164">
        <f>SUM(G82:G89)</f>
        <v>1500</v>
      </c>
    </row>
    <row r="81" spans="1:13" x14ac:dyDescent="0.15">
      <c r="B81" s="165"/>
      <c r="C81" s="166"/>
      <c r="D81" s="166"/>
      <c r="E81" s="166"/>
      <c r="G81" s="166"/>
    </row>
    <row r="82" spans="1:13" x14ac:dyDescent="0.15">
      <c r="B82" s="165" t="s">
        <v>282</v>
      </c>
      <c r="C82" s="186">
        <f>G82*Aantal_maanden_BKJ1</f>
        <v>21000</v>
      </c>
      <c r="D82" s="187">
        <f>G82*1.02*Lengte_BKJ1</f>
        <v>18360</v>
      </c>
      <c r="E82" s="187">
        <f t="shared" ref="E82:E84" si="22">D82*1.02</f>
        <v>18727.2</v>
      </c>
      <c r="G82" s="189">
        <v>1500</v>
      </c>
      <c r="H82" s="172" t="s">
        <v>408</v>
      </c>
    </row>
    <row r="83" spans="1:13" x14ac:dyDescent="0.15">
      <c r="A83" s="184">
        <v>620200</v>
      </c>
      <c r="B83" s="169" t="s">
        <v>284</v>
      </c>
      <c r="C83" s="186">
        <f>G83*Aantal_maanden_BKJ1</f>
        <v>0</v>
      </c>
      <c r="D83" s="187">
        <f>G83*1.02*Lengte_BKJ1</f>
        <v>0</v>
      </c>
      <c r="E83" s="187">
        <f t="shared" si="22"/>
        <v>0</v>
      </c>
      <c r="G83" s="190"/>
      <c r="H83" s="172" t="s">
        <v>283</v>
      </c>
    </row>
    <row r="84" spans="1:13" x14ac:dyDescent="0.15">
      <c r="A84" s="184">
        <v>620220</v>
      </c>
      <c r="B84" s="169" t="s">
        <v>286</v>
      </c>
      <c r="C84" s="186">
        <f>G82*Aantal_maanden_BKJ1/Lengte_BKJ1</f>
        <v>1750</v>
      </c>
      <c r="D84" s="186">
        <f>D82/12</f>
        <v>1530</v>
      </c>
      <c r="E84" s="187">
        <f t="shared" si="22"/>
        <v>1560.6000000000001</v>
      </c>
      <c r="G84" s="188">
        <v>0</v>
      </c>
      <c r="H84" s="172" t="s">
        <v>285</v>
      </c>
    </row>
    <row r="85" spans="1:13" x14ac:dyDescent="0.15">
      <c r="A85" s="184">
        <v>620240</v>
      </c>
      <c r="B85" s="169" t="s">
        <v>287</v>
      </c>
      <c r="C85" s="187">
        <f>(C82+C84)*0.25</f>
        <v>5687.5</v>
      </c>
      <c r="D85" s="186">
        <f>(D82+D84)*0.25</f>
        <v>4972.5</v>
      </c>
      <c r="E85" s="187">
        <f>(E82+E84)*0.25</f>
        <v>5071.95</v>
      </c>
      <c r="G85" s="188" t="s">
        <v>278</v>
      </c>
      <c r="H85" s="172" t="s">
        <v>285</v>
      </c>
    </row>
    <row r="86" spans="1:13" x14ac:dyDescent="0.15">
      <c r="A86" s="184">
        <v>621200</v>
      </c>
      <c r="B86" s="169" t="s">
        <v>288</v>
      </c>
      <c r="C86" s="187">
        <f>(C82+C83+C84)*0.5%</f>
        <v>113.75</v>
      </c>
      <c r="D86" s="186">
        <f t="shared" ref="D86" si="23">(D82+D83+D84)*0.5%</f>
        <v>99.45</v>
      </c>
      <c r="E86" s="187">
        <f t="shared" ref="E86" si="24">(E82+E83+E84)*0.5%</f>
        <v>101.43899999999999</v>
      </c>
      <c r="G86" s="188" t="s">
        <v>278</v>
      </c>
      <c r="H86" s="172" t="s">
        <v>285</v>
      </c>
    </row>
    <row r="87" spans="1:13" x14ac:dyDescent="0.15">
      <c r="A87" s="184">
        <v>623000</v>
      </c>
      <c r="B87" s="169" t="s">
        <v>289</v>
      </c>
      <c r="C87" s="186">
        <f>G87/Lengte_BKJ1*Aantal_maanden_BKJ1</f>
        <v>0</v>
      </c>
      <c r="D87" s="187">
        <f t="shared" ref="D87" si="25">G87*1.02</f>
        <v>0</v>
      </c>
      <c r="E87" s="187">
        <f t="shared" ref="E87:E88" si="26">D87*1.02</f>
        <v>0</v>
      </c>
      <c r="G87" s="190"/>
      <c r="H87" s="172" t="s">
        <v>383</v>
      </c>
    </row>
    <row r="88" spans="1:13" x14ac:dyDescent="0.15">
      <c r="A88" s="184">
        <v>623220</v>
      </c>
      <c r="B88" s="169" t="s">
        <v>290</v>
      </c>
      <c r="C88" s="186">
        <f>G88*Aantal_maanden_BKJ1</f>
        <v>0</v>
      </c>
      <c r="D88" s="187">
        <f>G88*1.02*Lengte_BKJ1</f>
        <v>0</v>
      </c>
      <c r="E88" s="187">
        <f t="shared" si="26"/>
        <v>0</v>
      </c>
      <c r="G88" s="190"/>
      <c r="H88" s="172" t="s">
        <v>283</v>
      </c>
    </row>
    <row r="89" spans="1:13" x14ac:dyDescent="0.15">
      <c r="A89" s="184">
        <v>623221</v>
      </c>
      <c r="B89" s="169" t="s">
        <v>291</v>
      </c>
      <c r="C89" s="187">
        <f>C82/Aantal_maanden_BKJ1*Lengte_BKJ1*0.182</f>
        <v>3276</v>
      </c>
      <c r="D89" s="187">
        <f>(D82*0.182)-C89</f>
        <v>65.519999999999982</v>
      </c>
      <c r="E89" s="187">
        <f>D89*1.02</f>
        <v>66.830399999999983</v>
      </c>
      <c r="G89" s="188" t="s">
        <v>278</v>
      </c>
      <c r="H89" s="172" t="s">
        <v>292</v>
      </c>
    </row>
    <row r="90" spans="1:13" x14ac:dyDescent="0.15">
      <c r="A90" s="184">
        <v>623270</v>
      </c>
      <c r="B90" s="145"/>
      <c r="C90" s="166"/>
      <c r="D90" s="166"/>
      <c r="G90" s="166"/>
    </row>
    <row r="91" spans="1:13" x14ac:dyDescent="0.15">
      <c r="A91" s="184"/>
      <c r="B91" s="163" t="s">
        <v>103</v>
      </c>
      <c r="C91" s="164">
        <f>SUM(C92:C99)</f>
        <v>21841.666666666664</v>
      </c>
      <c r="D91" s="164">
        <f>SUM(D92:D99)</f>
        <v>15550.000000000002</v>
      </c>
      <c r="E91" s="164">
        <f>SUM(E92:E99)</f>
        <v>15550.000000000002</v>
      </c>
      <c r="G91" s="164">
        <f>SUM(G92:G99)</f>
        <v>0</v>
      </c>
      <c r="K91" s="193"/>
      <c r="L91" s="168"/>
      <c r="M91" s="188"/>
    </row>
    <row r="92" spans="1:13" x14ac:dyDescent="0.15">
      <c r="A92" s="184"/>
      <c r="B92" s="185" t="s">
        <v>293</v>
      </c>
      <c r="C92" s="187">
        <f>Investeringen!C5</f>
        <v>3700</v>
      </c>
      <c r="D92" s="187">
        <f>Investeringen!D5</f>
        <v>0</v>
      </c>
      <c r="E92" s="187">
        <f>Investeringen!E5</f>
        <v>0</v>
      </c>
      <c r="F92" s="188"/>
      <c r="G92" s="188" t="s">
        <v>278</v>
      </c>
      <c r="H92" s="192" t="s">
        <v>294</v>
      </c>
      <c r="I92" s="188"/>
      <c r="J92" s="188"/>
      <c r="K92" s="193"/>
      <c r="L92" s="168"/>
      <c r="M92" s="188"/>
    </row>
    <row r="93" spans="1:13" x14ac:dyDescent="0.15">
      <c r="A93" s="184"/>
      <c r="B93" s="165" t="s">
        <v>365</v>
      </c>
      <c r="C93" s="187">
        <f>Investeringen!C14</f>
        <v>15652.777777777777</v>
      </c>
      <c r="D93" s="187">
        <f>Investeringen!D14</f>
        <v>13416.666666666668</v>
      </c>
      <c r="E93" s="187">
        <f>Investeringen!E14</f>
        <v>13416.666666666668</v>
      </c>
      <c r="F93" s="188"/>
      <c r="G93" s="188" t="s">
        <v>278</v>
      </c>
      <c r="H93" s="192" t="s">
        <v>294</v>
      </c>
      <c r="I93" s="188"/>
      <c r="J93" s="188"/>
      <c r="K93" s="193"/>
      <c r="L93" s="168"/>
      <c r="M93" s="188"/>
    </row>
    <row r="94" spans="1:13" x14ac:dyDescent="0.15">
      <c r="A94" s="184"/>
      <c r="B94" s="191" t="s">
        <v>295</v>
      </c>
      <c r="C94" s="187">
        <f>Investeringen!C22</f>
        <v>0</v>
      </c>
      <c r="D94" s="187">
        <f>Investeringen!D22</f>
        <v>0</v>
      </c>
      <c r="E94" s="187">
        <f>Investeringen!E22</f>
        <v>0</v>
      </c>
      <c r="F94" s="188"/>
      <c r="G94" s="188" t="s">
        <v>278</v>
      </c>
      <c r="H94" s="192" t="s">
        <v>294</v>
      </c>
      <c r="I94" s="188"/>
      <c r="J94" s="168"/>
      <c r="K94" s="193"/>
      <c r="L94" s="168"/>
      <c r="M94" s="188"/>
    </row>
    <row r="95" spans="1:13" x14ac:dyDescent="0.15">
      <c r="A95" s="184"/>
      <c r="B95" s="191" t="s">
        <v>296</v>
      </c>
      <c r="C95" s="187">
        <f>Investeringen!C30</f>
        <v>1555.5555555555554</v>
      </c>
      <c r="D95" s="187">
        <f>Investeringen!D30</f>
        <v>1333.3333333333333</v>
      </c>
      <c r="E95" s="187">
        <f>Investeringen!E30</f>
        <v>1333.3333333333333</v>
      </c>
      <c r="F95" s="188"/>
      <c r="G95" s="188" t="s">
        <v>278</v>
      </c>
      <c r="H95" s="192" t="s">
        <v>294</v>
      </c>
      <c r="I95" s="188"/>
      <c r="J95" s="168"/>
      <c r="K95" s="193"/>
      <c r="L95" s="168"/>
      <c r="M95" s="188"/>
    </row>
    <row r="96" spans="1:13" x14ac:dyDescent="0.15">
      <c r="A96" s="184"/>
      <c r="B96" s="191" t="s">
        <v>297</v>
      </c>
      <c r="C96" s="187">
        <f>Investeringen!C38</f>
        <v>0</v>
      </c>
      <c r="D96" s="187">
        <f>Investeringen!D38</f>
        <v>0</v>
      </c>
      <c r="E96" s="187">
        <f>Investeringen!E38</f>
        <v>0</v>
      </c>
      <c r="F96" s="188"/>
      <c r="G96" s="188" t="s">
        <v>278</v>
      </c>
      <c r="H96" s="192" t="s">
        <v>294</v>
      </c>
      <c r="I96" s="188"/>
      <c r="J96" s="168"/>
      <c r="K96" s="193"/>
      <c r="L96" s="168"/>
      <c r="M96" s="188"/>
    </row>
    <row r="97" spans="1:17" x14ac:dyDescent="0.15">
      <c r="A97" s="184"/>
      <c r="B97" s="169" t="s">
        <v>298</v>
      </c>
      <c r="C97" s="187">
        <f>Investeringen!C46</f>
        <v>933.33333333333337</v>
      </c>
      <c r="D97" s="187">
        <f>Investeringen!D46</f>
        <v>800</v>
      </c>
      <c r="E97" s="187">
        <f>Investeringen!E46</f>
        <v>800</v>
      </c>
      <c r="F97" s="188"/>
      <c r="G97" s="188" t="s">
        <v>278</v>
      </c>
      <c r="H97" s="192" t="s">
        <v>294</v>
      </c>
      <c r="I97" s="188"/>
      <c r="J97" s="168"/>
      <c r="K97" s="193"/>
      <c r="L97" s="168"/>
      <c r="M97" s="188"/>
    </row>
    <row r="98" spans="1:17" x14ac:dyDescent="0.15">
      <c r="A98" s="184"/>
      <c r="B98" s="191" t="s">
        <v>299</v>
      </c>
      <c r="C98" s="187">
        <f>Investeringen!C54</f>
        <v>0</v>
      </c>
      <c r="D98" s="187">
        <f>Investeringen!D54</f>
        <v>0</v>
      </c>
      <c r="E98" s="187">
        <f>Investeringen!E54</f>
        <v>0</v>
      </c>
      <c r="F98" s="188"/>
      <c r="G98" s="188" t="s">
        <v>278</v>
      </c>
      <c r="H98" s="192" t="s">
        <v>294</v>
      </c>
      <c r="I98" s="188"/>
      <c r="J98" s="168"/>
    </row>
    <row r="99" spans="1:17" x14ac:dyDescent="0.15">
      <c r="A99" s="184"/>
      <c r="B99" s="145"/>
      <c r="C99" s="166"/>
      <c r="D99" s="166"/>
      <c r="G99" s="208"/>
    </row>
    <row r="100" spans="1:17" x14ac:dyDescent="0.15">
      <c r="A100" s="184"/>
      <c r="B100" s="163" t="s">
        <v>300</v>
      </c>
      <c r="C100" s="164">
        <f>SUM(C101:C103)</f>
        <v>637.5</v>
      </c>
      <c r="D100" s="164">
        <f>SUM(D101:D103)</f>
        <v>637.5</v>
      </c>
      <c r="E100" s="164">
        <f>SUM(E101:E103)</f>
        <v>637.5</v>
      </c>
      <c r="G100" s="164">
        <f>SUM(G101:G103)</f>
        <v>637.5</v>
      </c>
    </row>
    <row r="101" spans="1:17" x14ac:dyDescent="0.15">
      <c r="A101" s="184"/>
      <c r="B101" s="191" t="s">
        <v>301</v>
      </c>
      <c r="C101" s="187">
        <f>G101</f>
        <v>290</v>
      </c>
      <c r="D101" s="187">
        <f>G101</f>
        <v>290</v>
      </c>
      <c r="E101" s="187">
        <f>G101</f>
        <v>290</v>
      </c>
      <c r="F101" s="188"/>
      <c r="G101" s="174">
        <f>200+90</f>
        <v>290</v>
      </c>
      <c r="H101" s="168" t="s">
        <v>302</v>
      </c>
    </row>
    <row r="102" spans="1:17" x14ac:dyDescent="0.15">
      <c r="A102" s="184"/>
      <c r="B102" s="191" t="s">
        <v>303</v>
      </c>
      <c r="C102" s="187">
        <f>G102</f>
        <v>347.5</v>
      </c>
      <c r="D102" s="187">
        <f>G102</f>
        <v>347.5</v>
      </c>
      <c r="E102" s="187">
        <f>G102</f>
        <v>347.5</v>
      </c>
      <c r="F102" s="188"/>
      <c r="G102" s="187">
        <v>347.5</v>
      </c>
      <c r="H102" s="168" t="s">
        <v>304</v>
      </c>
      <c r="N102" s="175">
        <v>0.1</v>
      </c>
      <c r="O102" s="147">
        <f>G105*N102</f>
        <v>1300</v>
      </c>
      <c r="P102" s="175">
        <v>0.2</v>
      </c>
      <c r="Q102" s="147">
        <f>O103*N102</f>
        <v>1170</v>
      </c>
    </row>
    <row r="103" spans="1:17" x14ac:dyDescent="0.15">
      <c r="A103" s="184"/>
      <c r="B103" s="145"/>
      <c r="C103" s="166"/>
      <c r="D103" s="166"/>
      <c r="G103" s="166"/>
      <c r="O103" s="147">
        <f>G105-O102</f>
        <v>11700</v>
      </c>
      <c r="Q103" s="147">
        <f>O103-Q102</f>
        <v>10530</v>
      </c>
    </row>
    <row r="104" spans="1:17" x14ac:dyDescent="0.15">
      <c r="A104" s="184"/>
      <c r="B104" s="163" t="s">
        <v>115</v>
      </c>
      <c r="C104" s="164">
        <f>SUM(C105:C107)</f>
        <v>898.33333333333326</v>
      </c>
      <c r="D104" s="164">
        <f>SUM(D105:D107)</f>
        <v>707.4</v>
      </c>
      <c r="E104" s="164">
        <f>SUM(E105:E107)</f>
        <v>709.84799999999996</v>
      </c>
      <c r="G104" s="164">
        <f>SUM(G105:G107)</f>
        <v>13120</v>
      </c>
      <c r="K104" s="240">
        <v>0.05</v>
      </c>
    </row>
    <row r="105" spans="1:17" x14ac:dyDescent="0.15">
      <c r="A105" s="184"/>
      <c r="B105" s="185" t="s">
        <v>305</v>
      </c>
      <c r="C105" s="187">
        <f>(G105*K104)/Lengte_BKJ1*Aantal_maanden_BKJ1</f>
        <v>758.33333333333326</v>
      </c>
      <c r="D105" s="150">
        <f>O103*K104</f>
        <v>585</v>
      </c>
      <c r="E105" s="187">
        <f>O103*K104</f>
        <v>585</v>
      </c>
      <c r="G105" s="167">
        <v>13000</v>
      </c>
      <c r="H105" s="168" t="s">
        <v>409</v>
      </c>
    </row>
    <row r="106" spans="1:17" x14ac:dyDescent="0.15">
      <c r="A106" s="184"/>
      <c r="B106" s="191" t="s">
        <v>306</v>
      </c>
      <c r="C106" s="186">
        <f>G106/Lengte_BKJ1*Aantal_maanden_BKJ1</f>
        <v>140</v>
      </c>
      <c r="D106" s="187">
        <f t="shared" ref="D106" si="27">G106*1.02</f>
        <v>122.4</v>
      </c>
      <c r="E106" s="187">
        <f t="shared" ref="E106" si="28">D106*1.02</f>
        <v>124.84800000000001</v>
      </c>
      <c r="G106" s="167">
        <v>120</v>
      </c>
      <c r="H106" s="168" t="s">
        <v>384</v>
      </c>
    </row>
    <row r="107" spans="1:17" x14ac:dyDescent="0.15">
      <c r="A107" s="184"/>
      <c r="B107" s="145"/>
      <c r="C107" s="166"/>
      <c r="D107" s="166"/>
      <c r="G107" s="166"/>
    </row>
    <row r="108" spans="1:17" s="155" customFormat="1" ht="16" x14ac:dyDescent="0.2">
      <c r="A108" s="184"/>
      <c r="B108" s="163" t="s">
        <v>307</v>
      </c>
      <c r="C108" s="164">
        <f>G108*1.02*Lengte_BKJ1</f>
        <v>0</v>
      </c>
      <c r="D108" s="164">
        <f>G108/12*16</f>
        <v>0</v>
      </c>
      <c r="E108" s="164">
        <f>D108*1.02</f>
        <v>0</v>
      </c>
      <c r="F108" s="147"/>
      <c r="G108" s="176"/>
      <c r="H108" s="147"/>
      <c r="I108" s="147"/>
      <c r="J108" s="147"/>
      <c r="K108" s="147"/>
      <c r="L108" s="147"/>
      <c r="M108" s="147"/>
    </row>
    <row r="109" spans="1:17" s="155" customFormat="1" ht="16" x14ac:dyDescent="0.2">
      <c r="A109" s="184"/>
      <c r="B109" s="145"/>
      <c r="C109" s="166"/>
      <c r="D109" s="166"/>
      <c r="E109" s="150"/>
      <c r="F109" s="147"/>
      <c r="G109" s="166"/>
      <c r="H109" s="147"/>
      <c r="I109" s="147"/>
      <c r="J109" s="147"/>
      <c r="K109" s="147"/>
      <c r="L109" s="147"/>
      <c r="M109" s="147"/>
    </row>
    <row r="110" spans="1:17" s="155" customFormat="1" ht="16" x14ac:dyDescent="0.2">
      <c r="A110" s="184"/>
      <c r="B110" s="170"/>
      <c r="C110" s="150"/>
      <c r="D110" s="150"/>
      <c r="E110" s="150"/>
      <c r="F110" s="147"/>
      <c r="G110" s="150"/>
      <c r="H110" s="147"/>
      <c r="I110" s="147"/>
      <c r="J110" s="147"/>
    </row>
    <row r="111" spans="1:17" ht="16" x14ac:dyDescent="0.2">
      <c r="A111" s="184"/>
      <c r="B111" s="152" t="s">
        <v>308</v>
      </c>
      <c r="C111" s="154">
        <f>+C41+C75+C80+C91+C100+C104+C108</f>
        <v>92213.749999999985</v>
      </c>
      <c r="D111" s="154">
        <f t="shared" ref="D111:G111" si="29">+D41+D75+D80+D91+D100+D104+D108</f>
        <v>74278.81</v>
      </c>
      <c r="E111" s="154">
        <f t="shared" si="29"/>
        <v>75428.936199999996</v>
      </c>
      <c r="F111" s="154"/>
      <c r="G111" s="154">
        <f t="shared" si="29"/>
        <v>30479.5</v>
      </c>
      <c r="H111" s="155"/>
      <c r="I111" s="155"/>
      <c r="J111" s="155"/>
      <c r="K111" s="155"/>
      <c r="L111" s="155"/>
      <c r="M111" s="155"/>
    </row>
    <row r="112" spans="1:17" ht="16" x14ac:dyDescent="0.2">
      <c r="A112" s="184"/>
      <c r="B112" s="152"/>
      <c r="C112" s="154"/>
      <c r="D112" s="154"/>
      <c r="E112" s="154"/>
      <c r="F112" s="154"/>
      <c r="G112" s="154"/>
      <c r="H112" s="155"/>
      <c r="I112" s="155"/>
      <c r="J112" s="155"/>
      <c r="K112" s="155"/>
      <c r="L112" s="155"/>
      <c r="M112" s="155"/>
    </row>
    <row r="113" spans="1:10" ht="16" x14ac:dyDescent="0.2">
      <c r="A113" s="184"/>
      <c r="E113" s="154"/>
      <c r="F113" s="155"/>
      <c r="H113" s="155"/>
      <c r="I113" s="155"/>
      <c r="J113" s="155"/>
    </row>
    <row r="114" spans="1:10" ht="16" x14ac:dyDescent="0.2">
      <c r="A114" s="184"/>
      <c r="B114" s="243" t="s">
        <v>314</v>
      </c>
      <c r="C114" s="244">
        <f>C35-C111</f>
        <v>29999.448333333348</v>
      </c>
      <c r="D114" s="244">
        <f>D35-D111</f>
        <v>32570.443399999989</v>
      </c>
      <c r="E114" s="244">
        <f>E35-E111</f>
        <v>33557.30226799997</v>
      </c>
      <c r="G114" s="244">
        <f>G35-G111</f>
        <v>74274.670000000013</v>
      </c>
    </row>
    <row r="115" spans="1:10" x14ac:dyDescent="0.15">
      <c r="A115" s="184"/>
    </row>
    <row r="116" spans="1:10" x14ac:dyDescent="0.15">
      <c r="A116" s="184"/>
    </row>
  </sheetData>
  <protectedRanges>
    <protectedRange sqref="K104" name="Bereik17"/>
    <protectedRange sqref="B8:B15 B17:B22 B23" name="Bereik15"/>
    <protectedRange sqref="G29:G30" name="Bereik13"/>
    <protectedRange sqref="G108" name="Bereik11"/>
    <protectedRange sqref="G87:G88" name="Bereik9"/>
    <protectedRange sqref="K75" name="Bereik7"/>
    <protectedRange sqref="K65" name="Bereik5"/>
    <protectedRange sqref="K4" name="Bereik3"/>
    <protectedRange sqref="K1" name="Bereik2"/>
    <protectedRange sqref="G42:G73" name="Bereik4"/>
    <protectedRange sqref="G76" name="Bereik6"/>
    <protectedRange sqref="G82:G83" name="Bereik8"/>
    <protectedRange sqref="G105:G106" name="Bereik10"/>
    <protectedRange sqref="G8:G15 G17:G22 G23" name="Bereik12"/>
    <protectedRange sqref="K29" name="Bereik14"/>
    <protectedRange sqref="C29:E29" name="Bereik16"/>
  </protectedRange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B91E6-5D87-4314-AC94-F02B0285FDCA}">
  <sheetPr>
    <tabColor rgb="FFFFFF00"/>
  </sheetPr>
  <dimension ref="A1:G17"/>
  <sheetViews>
    <sheetView workbookViewId="0">
      <selection activeCell="B5" sqref="B5"/>
    </sheetView>
  </sheetViews>
  <sheetFormatPr baseColWidth="10" defaultColWidth="8.83203125" defaultRowHeight="15" x14ac:dyDescent="0.2"/>
  <cols>
    <col min="1" max="1" width="18.5" customWidth="1"/>
    <col min="2" max="3" width="12.6640625" customWidth="1"/>
    <col min="5" max="7" width="15.6640625" customWidth="1"/>
  </cols>
  <sheetData>
    <row r="1" spans="1:7" x14ac:dyDescent="0.2">
      <c r="A1" s="164" t="s">
        <v>316</v>
      </c>
      <c r="B1" s="182" t="s">
        <v>317</v>
      </c>
      <c r="C1" s="164" t="s">
        <v>318</v>
      </c>
      <c r="D1" s="145"/>
      <c r="E1" s="146" t="s">
        <v>229</v>
      </c>
      <c r="F1" s="146" t="s">
        <v>229</v>
      </c>
      <c r="G1" s="146" t="s">
        <v>229</v>
      </c>
    </row>
    <row r="2" spans="1:7" x14ac:dyDescent="0.2">
      <c r="A2" s="180" t="s">
        <v>228</v>
      </c>
      <c r="B2" s="183" t="s">
        <v>228</v>
      </c>
      <c r="C2" s="181" t="s">
        <v>228</v>
      </c>
      <c r="D2" s="145"/>
      <c r="E2" s="148" t="s">
        <v>231</v>
      </c>
      <c r="F2" s="149" t="s">
        <v>319</v>
      </c>
      <c r="G2" s="149" t="s">
        <v>320</v>
      </c>
    </row>
    <row r="4" spans="1:7" x14ac:dyDescent="0.2">
      <c r="A4" t="s">
        <v>321</v>
      </c>
      <c r="B4" s="212">
        <v>80</v>
      </c>
      <c r="C4" s="213">
        <v>50</v>
      </c>
      <c r="D4" s="177"/>
      <c r="E4" s="177">
        <f>B4*C4</f>
        <v>4000</v>
      </c>
      <c r="F4" s="177"/>
      <c r="G4" s="177"/>
    </row>
    <row r="5" spans="1:7" x14ac:dyDescent="0.2">
      <c r="A5" t="s">
        <v>322</v>
      </c>
      <c r="B5" s="212">
        <v>0</v>
      </c>
      <c r="C5" s="213">
        <v>0</v>
      </c>
      <c r="D5" s="177"/>
      <c r="E5" s="177">
        <f t="shared" ref="E5:E7" si="0">B5*C5</f>
        <v>0</v>
      </c>
      <c r="F5" s="177"/>
      <c r="G5" s="177"/>
    </row>
    <row r="6" spans="1:7" x14ac:dyDescent="0.2">
      <c r="A6" t="s">
        <v>323</v>
      </c>
      <c r="B6" s="212">
        <v>0</v>
      </c>
      <c r="C6" s="213">
        <v>0</v>
      </c>
      <c r="D6" s="177"/>
      <c r="E6" s="177">
        <f t="shared" si="0"/>
        <v>0</v>
      </c>
      <c r="F6" s="177"/>
      <c r="G6" s="177"/>
    </row>
    <row r="7" spans="1:7" x14ac:dyDescent="0.2">
      <c r="A7" t="s">
        <v>324</v>
      </c>
      <c r="B7" s="212">
        <v>0</v>
      </c>
      <c r="C7" s="213">
        <v>0</v>
      </c>
      <c r="D7" s="177"/>
      <c r="E7" s="177">
        <f t="shared" si="0"/>
        <v>0</v>
      </c>
      <c r="F7" s="177"/>
      <c r="G7" s="177"/>
    </row>
    <row r="8" spans="1:7" x14ac:dyDescent="0.2">
      <c r="C8" s="177"/>
      <c r="D8" s="177"/>
      <c r="E8" s="177"/>
      <c r="F8" s="177"/>
      <c r="G8" s="177"/>
    </row>
    <row r="9" spans="1:7" x14ac:dyDescent="0.2">
      <c r="C9" s="177"/>
      <c r="D9" s="177"/>
      <c r="E9" s="177"/>
      <c r="F9" s="177"/>
      <c r="G9" s="177"/>
    </row>
    <row r="10" spans="1:7" s="117" customFormat="1" x14ac:dyDescent="0.2">
      <c r="C10" s="118"/>
      <c r="D10" s="209" t="s">
        <v>325</v>
      </c>
      <c r="E10" s="24">
        <f>SUM(E4:E9)</f>
        <v>4000</v>
      </c>
      <c r="F10" s="118"/>
      <c r="G10" s="118"/>
    </row>
    <row r="11" spans="1:7" x14ac:dyDescent="0.2">
      <c r="C11" s="177"/>
      <c r="D11" s="177"/>
      <c r="E11" s="177"/>
      <c r="F11" s="177"/>
      <c r="G11" s="177"/>
    </row>
    <row r="12" spans="1:7" x14ac:dyDescent="0.2">
      <c r="C12" s="177"/>
      <c r="D12" s="177"/>
      <c r="E12" s="177"/>
      <c r="F12" s="177"/>
      <c r="G12" s="177"/>
    </row>
    <row r="13" spans="1:7" x14ac:dyDescent="0.2">
      <c r="C13" s="177"/>
      <c r="D13" s="177"/>
      <c r="E13" s="177"/>
      <c r="F13" s="177"/>
      <c r="G13" s="177"/>
    </row>
    <row r="14" spans="1:7" x14ac:dyDescent="0.2">
      <c r="C14" s="177"/>
      <c r="D14" s="177"/>
      <c r="E14" s="177"/>
      <c r="F14" s="177"/>
      <c r="G14" s="177"/>
    </row>
    <row r="15" spans="1:7" x14ac:dyDescent="0.2">
      <c r="C15" s="177"/>
      <c r="D15" s="177"/>
      <c r="E15" s="177"/>
      <c r="F15" s="177"/>
      <c r="G15" s="177"/>
    </row>
    <row r="16" spans="1:7" x14ac:dyDescent="0.2">
      <c r="C16" s="177"/>
      <c r="D16" s="177"/>
      <c r="E16" s="177"/>
      <c r="F16" s="177"/>
      <c r="G16" s="177"/>
    </row>
    <row r="17" spans="3:7" x14ac:dyDescent="0.2">
      <c r="C17" s="177"/>
      <c r="D17" s="177"/>
      <c r="E17" s="177"/>
      <c r="F17" s="177"/>
      <c r="G17" s="177"/>
    </row>
  </sheetData>
  <sheetProtection algorithmName="SHA-512" hashValue="19qPcfLkg3WI2hALqVc2tb7cHzN9Irj6IAmne0Ssr0Y4c1MwoPjUkKqCWxy8vCcd6Ow211ecXqQ6MzBfrzfbGw==" saltValue="5vf7K8Q9gviSRO7gCuFg8A==" spinCount="100000" sheet="1" objects="1" scenarios="1"/>
  <protectedRanges>
    <protectedRange sqref="B4:C7" name="Bereik1"/>
  </protectedRanges>
  <phoneticPr fontId="19" type="noConversion"/>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7A899-074B-405A-B4D5-254D9985DAC0}">
  <sheetPr>
    <tabColor rgb="FFFFFF00"/>
  </sheetPr>
  <dimension ref="A1:N62"/>
  <sheetViews>
    <sheetView showZeros="0" tabSelected="1" workbookViewId="0">
      <selection activeCell="G18" sqref="G18"/>
    </sheetView>
  </sheetViews>
  <sheetFormatPr baseColWidth="10" defaultColWidth="9.1640625" defaultRowHeight="14" x14ac:dyDescent="0.2"/>
  <cols>
    <col min="1" max="1" width="9.1640625" style="196"/>
    <col min="2" max="2" width="33.1640625" style="196" bestFit="1" customWidth="1"/>
    <col min="3" max="5" width="15.6640625" style="196" customWidth="1"/>
    <col min="6" max="6" width="9.1640625" style="196"/>
    <col min="7" max="9" width="15.6640625" style="196" customWidth="1"/>
    <col min="10" max="11" width="9.1640625" style="196"/>
    <col min="12" max="12" width="22.5" style="196" customWidth="1"/>
    <col min="13" max="16384" width="9.1640625" style="196"/>
  </cols>
  <sheetData>
    <row r="1" spans="1:14" ht="15" x14ac:dyDescent="0.2">
      <c r="C1" s="146" t="s">
        <v>229</v>
      </c>
      <c r="D1" s="146" t="s">
        <v>229</v>
      </c>
      <c r="E1" s="146" t="s">
        <v>229</v>
      </c>
      <c r="F1" s="147"/>
      <c r="G1" s="146" t="s">
        <v>229</v>
      </c>
      <c r="H1" s="146" t="s">
        <v>229</v>
      </c>
      <c r="I1" s="146" t="s">
        <v>229</v>
      </c>
    </row>
    <row r="2" spans="1:14" ht="15" x14ac:dyDescent="0.2">
      <c r="C2" s="148" t="s">
        <v>231</v>
      </c>
      <c r="D2" s="149" t="s">
        <v>319</v>
      </c>
      <c r="E2" s="149" t="s">
        <v>320</v>
      </c>
      <c r="F2" s="147"/>
      <c r="G2" s="148" t="s">
        <v>231</v>
      </c>
      <c r="H2" s="149" t="s">
        <v>319</v>
      </c>
      <c r="I2" s="149" t="s">
        <v>320</v>
      </c>
    </row>
    <row r="3" spans="1:14" ht="15" x14ac:dyDescent="0.2">
      <c r="C3" s="180"/>
      <c r="D3" s="181"/>
      <c r="E3" s="181"/>
      <c r="F3" s="147"/>
      <c r="G3" s="181"/>
    </row>
    <row r="5" spans="1:14" x14ac:dyDescent="0.2">
      <c r="A5" s="184"/>
      <c r="B5" s="194" t="s">
        <v>49</v>
      </c>
      <c r="C5" s="195">
        <f>SUM(C6:C13)</f>
        <v>3700</v>
      </c>
      <c r="D5" s="195">
        <f>SUM(D6:D13)</f>
        <v>0</v>
      </c>
      <c r="E5" s="195">
        <f>SUM(E6:E13)</f>
        <v>0</v>
      </c>
      <c r="F5" s="188"/>
      <c r="G5" s="195">
        <f>SUM(G6:G13)</f>
        <v>3700</v>
      </c>
      <c r="H5" s="186"/>
      <c r="I5" s="186"/>
      <c r="J5" s="192"/>
      <c r="K5" s="188"/>
      <c r="L5" s="188"/>
      <c r="M5" s="193"/>
      <c r="N5" s="168"/>
    </row>
    <row r="6" spans="1:14" x14ac:dyDescent="0.2">
      <c r="A6" s="184"/>
      <c r="B6" s="185"/>
      <c r="C6" s="186"/>
      <c r="D6" s="186"/>
      <c r="E6" s="186"/>
      <c r="F6" s="188"/>
      <c r="G6" s="186"/>
      <c r="H6" s="186"/>
      <c r="I6" s="186"/>
      <c r="J6" s="192"/>
      <c r="K6" s="188"/>
      <c r="L6" s="188"/>
      <c r="M6" s="193"/>
      <c r="N6" s="168"/>
    </row>
    <row r="7" spans="1:14" x14ac:dyDescent="0.2">
      <c r="A7" s="184"/>
      <c r="B7" s="185" t="s">
        <v>326</v>
      </c>
      <c r="C7" s="186">
        <f>G7</f>
        <v>1450</v>
      </c>
      <c r="D7" s="186"/>
      <c r="E7" s="186"/>
      <c r="F7" s="188"/>
      <c r="G7" s="189">
        <v>1450</v>
      </c>
      <c r="H7" s="197"/>
      <c r="I7" s="197"/>
      <c r="J7" s="192" t="s">
        <v>327</v>
      </c>
      <c r="K7" s="188"/>
      <c r="L7" s="188" t="s">
        <v>328</v>
      </c>
      <c r="M7" s="193">
        <v>1</v>
      </c>
      <c r="N7" s="168" t="s">
        <v>329</v>
      </c>
    </row>
    <row r="8" spans="1:14" x14ac:dyDescent="0.2">
      <c r="A8" s="184"/>
      <c r="B8" s="185" t="s">
        <v>330</v>
      </c>
      <c r="C8" s="186">
        <f t="shared" ref="C8:C12" si="0">G8</f>
        <v>750</v>
      </c>
      <c r="D8" s="186"/>
      <c r="E8" s="186"/>
      <c r="F8" s="188"/>
      <c r="G8" s="189">
        <v>750</v>
      </c>
      <c r="H8" s="197"/>
      <c r="I8" s="197"/>
      <c r="J8" s="192" t="s">
        <v>327</v>
      </c>
      <c r="K8" s="188"/>
      <c r="L8" s="188" t="s">
        <v>328</v>
      </c>
      <c r="M8" s="193">
        <f>M7</f>
        <v>1</v>
      </c>
      <c r="N8" s="168" t="s">
        <v>329</v>
      </c>
    </row>
    <row r="9" spans="1:14" x14ac:dyDescent="0.2">
      <c r="A9" s="184"/>
      <c r="B9" s="185" t="s">
        <v>331</v>
      </c>
      <c r="C9" s="186">
        <f t="shared" si="0"/>
        <v>1500</v>
      </c>
      <c r="D9" s="186"/>
      <c r="E9" s="186"/>
      <c r="F9" s="188"/>
      <c r="G9" s="189">
        <v>1500</v>
      </c>
      <c r="H9" s="197"/>
      <c r="I9" s="197"/>
      <c r="J9" s="192" t="s">
        <v>327</v>
      </c>
      <c r="K9" s="188"/>
      <c r="L9" s="188" t="s">
        <v>328</v>
      </c>
      <c r="M9" s="193">
        <f t="shared" ref="M9:M12" si="1">M8</f>
        <v>1</v>
      </c>
      <c r="N9" s="168" t="s">
        <v>329</v>
      </c>
    </row>
    <row r="10" spans="1:14" x14ac:dyDescent="0.2">
      <c r="A10" s="184"/>
      <c r="B10" s="185" t="s">
        <v>332</v>
      </c>
      <c r="C10" s="186">
        <f t="shared" si="0"/>
        <v>0</v>
      </c>
      <c r="D10" s="186"/>
      <c r="E10" s="186"/>
      <c r="F10" s="188"/>
      <c r="G10" s="189">
        <v>0</v>
      </c>
      <c r="H10" s="197"/>
      <c r="I10" s="197"/>
      <c r="J10" s="192" t="s">
        <v>327</v>
      </c>
      <c r="K10" s="188"/>
      <c r="L10" s="188" t="s">
        <v>328</v>
      </c>
      <c r="M10" s="193">
        <f t="shared" si="1"/>
        <v>1</v>
      </c>
      <c r="N10" s="168" t="s">
        <v>329</v>
      </c>
    </row>
    <row r="11" spans="1:14" x14ac:dyDescent="0.2">
      <c r="A11" s="184"/>
      <c r="B11" s="185"/>
      <c r="C11" s="186">
        <f t="shared" si="0"/>
        <v>0</v>
      </c>
      <c r="D11" s="186"/>
      <c r="E11" s="186"/>
      <c r="F11" s="188"/>
      <c r="G11" s="189"/>
      <c r="H11" s="197"/>
      <c r="I11" s="197"/>
      <c r="J11" s="192" t="s">
        <v>327</v>
      </c>
      <c r="K11" s="188"/>
      <c r="L11" s="188" t="s">
        <v>328</v>
      </c>
      <c r="M11" s="193">
        <f t="shared" si="1"/>
        <v>1</v>
      </c>
      <c r="N11" s="168" t="s">
        <v>329</v>
      </c>
    </row>
    <row r="12" spans="1:14" x14ac:dyDescent="0.2">
      <c r="A12" s="184"/>
      <c r="B12" s="185"/>
      <c r="C12" s="186">
        <f t="shared" si="0"/>
        <v>0</v>
      </c>
      <c r="D12" s="186"/>
      <c r="E12" s="186"/>
      <c r="F12" s="188"/>
      <c r="G12" s="189"/>
      <c r="H12" s="197"/>
      <c r="I12" s="197"/>
      <c r="J12" s="192" t="s">
        <v>327</v>
      </c>
      <c r="K12" s="188"/>
      <c r="L12" s="188" t="s">
        <v>328</v>
      </c>
      <c r="M12" s="193">
        <f t="shared" si="1"/>
        <v>1</v>
      </c>
      <c r="N12" s="168" t="s">
        <v>329</v>
      </c>
    </row>
    <row r="13" spans="1:14" x14ac:dyDescent="0.2">
      <c r="A13" s="184"/>
      <c r="B13" s="185"/>
      <c r="C13" s="187"/>
      <c r="D13" s="187"/>
      <c r="E13" s="187"/>
      <c r="F13" s="188"/>
      <c r="G13" s="197"/>
      <c r="H13" s="197"/>
      <c r="I13" s="197"/>
      <c r="J13" s="192"/>
      <c r="K13" s="188"/>
      <c r="L13" s="188"/>
      <c r="M13" s="193"/>
      <c r="N13" s="168"/>
    </row>
    <row r="14" spans="1:14" x14ac:dyDescent="0.2">
      <c r="A14" s="184"/>
      <c r="B14" s="194" t="s">
        <v>333</v>
      </c>
      <c r="C14" s="195">
        <f>SUM(C16:C21)</f>
        <v>15652.777777777777</v>
      </c>
      <c r="D14" s="195">
        <f t="shared" ref="D14:E14" si="2">SUM(D16:D21)</f>
        <v>13416.666666666668</v>
      </c>
      <c r="E14" s="195">
        <f t="shared" si="2"/>
        <v>13416.666666666668</v>
      </c>
      <c r="F14" s="188"/>
      <c r="G14" s="195">
        <f>SUM(G15:G21)</f>
        <v>40250</v>
      </c>
      <c r="H14" s="195">
        <f t="shared" ref="H14:I14" si="3">SUM(H15:H21)</f>
        <v>0</v>
      </c>
      <c r="I14" s="195">
        <f t="shared" si="3"/>
        <v>0</v>
      </c>
      <c r="J14" s="192"/>
      <c r="K14" s="188"/>
      <c r="L14" s="188"/>
      <c r="M14" s="193"/>
      <c r="N14" s="168"/>
    </row>
    <row r="15" spans="1:14" x14ac:dyDescent="0.2">
      <c r="A15" s="184"/>
      <c r="B15" s="185"/>
      <c r="C15" s="186"/>
      <c r="D15" s="186"/>
      <c r="E15" s="186"/>
      <c r="F15" s="188"/>
      <c r="G15" s="186"/>
      <c r="H15" s="186"/>
      <c r="I15" s="186"/>
      <c r="J15" s="192"/>
      <c r="K15" s="188"/>
      <c r="L15" s="188"/>
      <c r="M15" s="193"/>
      <c r="N15" s="168"/>
    </row>
    <row r="16" spans="1:14" x14ac:dyDescent="0.2">
      <c r="A16" s="184"/>
      <c r="B16" s="233" t="s">
        <v>334</v>
      </c>
      <c r="C16" s="187">
        <f>(G16/M16)/12*Aantal_maanden_BKJ1</f>
        <v>97.222222222222214</v>
      </c>
      <c r="D16" s="187">
        <f>(G16/M16)+(H16/M16)</f>
        <v>83.333333333333329</v>
      </c>
      <c r="E16" s="187">
        <f>(G16/M16)+(H16/M16)+(I16/M16)</f>
        <v>83.333333333333329</v>
      </c>
      <c r="F16" s="188"/>
      <c r="G16" s="190">
        <v>250</v>
      </c>
      <c r="H16" s="190">
        <v>0</v>
      </c>
      <c r="I16" s="190">
        <v>0</v>
      </c>
      <c r="J16" s="192" t="s">
        <v>327</v>
      </c>
      <c r="K16" s="188"/>
      <c r="L16" s="188" t="s">
        <v>328</v>
      </c>
      <c r="M16" s="193">
        <v>3</v>
      </c>
      <c r="N16" s="168" t="s">
        <v>329</v>
      </c>
    </row>
    <row r="17" spans="1:14" x14ac:dyDescent="0.2">
      <c r="A17" s="184"/>
      <c r="B17" s="233" t="s">
        <v>335</v>
      </c>
      <c r="C17" s="187">
        <f>(G17/M17)/12*Aantal_maanden_BKJ1</f>
        <v>15555.555555555555</v>
      </c>
      <c r="D17" s="187">
        <f t="shared" ref="D17:D20" si="4">(G17/M17)+(H17/M17)</f>
        <v>13333.333333333334</v>
      </c>
      <c r="E17" s="187">
        <f t="shared" ref="E17:E20" si="5">(G17/M17)+(H17/M17)+(I17/M17)</f>
        <v>13333.333333333334</v>
      </c>
      <c r="F17" s="188"/>
      <c r="G17" s="190">
        <v>40000</v>
      </c>
      <c r="H17" s="190"/>
      <c r="I17" s="190"/>
      <c r="J17" s="192" t="s">
        <v>327</v>
      </c>
      <c r="K17" s="188"/>
      <c r="L17" s="188" t="s">
        <v>328</v>
      </c>
      <c r="M17" s="193">
        <f>M16</f>
        <v>3</v>
      </c>
      <c r="N17" s="168" t="s">
        <v>329</v>
      </c>
    </row>
    <row r="18" spans="1:14" x14ac:dyDescent="0.2">
      <c r="A18" s="184"/>
      <c r="B18" s="233" t="s">
        <v>366</v>
      </c>
      <c r="C18" s="187">
        <f>(G18/M18)/12*Aantal_maanden_BKJ1</f>
        <v>0</v>
      </c>
      <c r="D18" s="187">
        <f t="shared" si="4"/>
        <v>0</v>
      </c>
      <c r="E18" s="187">
        <f t="shared" si="5"/>
        <v>0</v>
      </c>
      <c r="F18" s="188"/>
      <c r="G18" s="190"/>
      <c r="H18" s="190"/>
      <c r="I18" s="190"/>
      <c r="J18" s="192" t="s">
        <v>327</v>
      </c>
      <c r="K18" s="188"/>
      <c r="L18" s="188" t="s">
        <v>328</v>
      </c>
      <c r="M18" s="193">
        <f t="shared" ref="M18:M19" si="6">M17</f>
        <v>3</v>
      </c>
      <c r="N18" s="168" t="s">
        <v>329</v>
      </c>
    </row>
    <row r="19" spans="1:14" x14ac:dyDescent="0.2">
      <c r="A19" s="184"/>
      <c r="B19" s="233" t="s">
        <v>367</v>
      </c>
      <c r="C19" s="187">
        <f>(G19/M19)/12*Aantal_maanden_BKJ1</f>
        <v>0</v>
      </c>
      <c r="D19" s="187">
        <f t="shared" si="4"/>
        <v>0</v>
      </c>
      <c r="E19" s="187">
        <f t="shared" si="5"/>
        <v>0</v>
      </c>
      <c r="F19" s="188"/>
      <c r="G19" s="190"/>
      <c r="H19" s="190"/>
      <c r="I19" s="190">
        <v>0</v>
      </c>
      <c r="J19" s="192" t="s">
        <v>327</v>
      </c>
      <c r="K19" s="188"/>
      <c r="L19" s="188" t="s">
        <v>328</v>
      </c>
      <c r="M19" s="193">
        <f t="shared" si="6"/>
        <v>3</v>
      </c>
      <c r="N19" s="168" t="s">
        <v>329</v>
      </c>
    </row>
    <row r="20" spans="1:14" x14ac:dyDescent="0.2">
      <c r="A20" s="184"/>
      <c r="B20" s="233" t="s">
        <v>368</v>
      </c>
      <c r="C20" s="187">
        <f>(G20/M20)/12*Aantal_maanden_BKJ1</f>
        <v>0</v>
      </c>
      <c r="D20" s="187">
        <f t="shared" si="4"/>
        <v>0</v>
      </c>
      <c r="E20" s="187">
        <f t="shared" si="5"/>
        <v>0</v>
      </c>
      <c r="F20" s="188"/>
      <c r="G20" s="190"/>
      <c r="H20" s="190"/>
      <c r="I20" s="190"/>
      <c r="J20" s="192" t="s">
        <v>327</v>
      </c>
      <c r="K20" s="188"/>
      <c r="L20" s="188" t="s">
        <v>328</v>
      </c>
      <c r="M20" s="193">
        <f t="shared" ref="M20" si="7">M19</f>
        <v>3</v>
      </c>
      <c r="N20" s="168" t="s">
        <v>329</v>
      </c>
    </row>
    <row r="21" spans="1:14" x14ac:dyDescent="0.2">
      <c r="A21" s="184"/>
      <c r="B21" s="185"/>
      <c r="C21" s="187"/>
      <c r="D21" s="187"/>
      <c r="E21" s="187"/>
      <c r="F21" s="188"/>
      <c r="G21" s="197"/>
      <c r="H21" s="197"/>
      <c r="I21" s="197"/>
      <c r="J21" s="192"/>
      <c r="K21" s="188"/>
      <c r="L21" s="188"/>
      <c r="M21" s="193"/>
      <c r="N21" s="168"/>
    </row>
    <row r="22" spans="1:14" x14ac:dyDescent="0.2">
      <c r="A22" s="184"/>
      <c r="B22" s="194" t="s">
        <v>336</v>
      </c>
      <c r="C22" s="195">
        <f>SUM(C23:C29)</f>
        <v>0</v>
      </c>
      <c r="D22" s="195">
        <f t="shared" ref="D22:E22" si="8">SUM(D23:D29)</f>
        <v>0</v>
      </c>
      <c r="E22" s="195">
        <f t="shared" si="8"/>
        <v>0</v>
      </c>
      <c r="F22" s="188"/>
      <c r="G22" s="195">
        <f>SUM(G23:G29)</f>
        <v>0</v>
      </c>
      <c r="H22" s="195">
        <f t="shared" ref="H22:I22" si="9">SUM(H23:H29)</f>
        <v>0</v>
      </c>
      <c r="I22" s="195">
        <f t="shared" si="9"/>
        <v>0</v>
      </c>
      <c r="J22" s="192"/>
      <c r="K22" s="188"/>
      <c r="L22" s="188"/>
      <c r="M22" s="193"/>
      <c r="N22" s="168"/>
    </row>
    <row r="23" spans="1:14" x14ac:dyDescent="0.2">
      <c r="A23" s="184"/>
      <c r="B23" s="185"/>
      <c r="C23" s="187"/>
      <c r="D23" s="187"/>
      <c r="E23" s="187"/>
      <c r="F23" s="188"/>
      <c r="G23" s="197"/>
      <c r="H23" s="197"/>
      <c r="I23" s="197"/>
      <c r="J23" s="192"/>
      <c r="K23" s="188"/>
      <c r="L23" s="188"/>
      <c r="M23" s="193"/>
      <c r="N23" s="168"/>
    </row>
    <row r="24" spans="1:14" x14ac:dyDescent="0.2">
      <c r="A24" s="184"/>
      <c r="B24" s="233" t="s">
        <v>390</v>
      </c>
      <c r="C24" s="187">
        <f>(G24/M24)/12*Aantal_maanden_BKJ1</f>
        <v>0</v>
      </c>
      <c r="D24" s="187">
        <f>(G24/M24)+(H24/M24)</f>
        <v>0</v>
      </c>
      <c r="E24" s="187">
        <f>(G24/M24)+(H24/M24)+(I24/M24)</f>
        <v>0</v>
      </c>
      <c r="F24" s="188"/>
      <c r="G24" s="190"/>
      <c r="H24" s="190">
        <v>0</v>
      </c>
      <c r="I24" s="190">
        <v>0</v>
      </c>
      <c r="J24" s="192" t="s">
        <v>327</v>
      </c>
      <c r="K24" s="188"/>
      <c r="L24" s="188" t="s">
        <v>328</v>
      </c>
      <c r="M24" s="193">
        <v>5</v>
      </c>
      <c r="N24" s="168" t="s">
        <v>329</v>
      </c>
    </row>
    <row r="25" spans="1:14" x14ac:dyDescent="0.2">
      <c r="A25" s="184"/>
      <c r="B25" s="233" t="s">
        <v>403</v>
      </c>
      <c r="C25" s="187">
        <f>(G25/M25)/12*Aantal_maanden_BKJ1</f>
        <v>0</v>
      </c>
      <c r="D25" s="187">
        <f t="shared" ref="D25:D28" si="10">(G25/M25)+(H25/M25)</f>
        <v>0</v>
      </c>
      <c r="E25" s="187">
        <f t="shared" ref="E25:E28" si="11">(G25/M25)+(H25/M25)+(I25/M25)</f>
        <v>0</v>
      </c>
      <c r="F25" s="188"/>
      <c r="G25" s="190"/>
      <c r="H25" s="190"/>
      <c r="I25" s="190"/>
      <c r="J25" s="192" t="s">
        <v>327</v>
      </c>
      <c r="K25" s="188"/>
      <c r="L25" s="188" t="s">
        <v>328</v>
      </c>
      <c r="M25" s="193">
        <f>M24</f>
        <v>5</v>
      </c>
      <c r="N25" s="168" t="s">
        <v>329</v>
      </c>
    </row>
    <row r="26" spans="1:14" x14ac:dyDescent="0.2">
      <c r="A26" s="184"/>
      <c r="B26" s="233" t="s">
        <v>369</v>
      </c>
      <c r="C26" s="187">
        <f>(G26/M26)/12*Aantal_maanden_BKJ1</f>
        <v>0</v>
      </c>
      <c r="D26" s="187">
        <f t="shared" si="10"/>
        <v>0</v>
      </c>
      <c r="E26" s="187">
        <f t="shared" si="11"/>
        <v>0</v>
      </c>
      <c r="F26" s="188"/>
      <c r="G26" s="190"/>
      <c r="H26" s="190"/>
      <c r="I26" s="190"/>
      <c r="J26" s="192" t="s">
        <v>327</v>
      </c>
      <c r="K26" s="188"/>
      <c r="L26" s="188" t="s">
        <v>328</v>
      </c>
      <c r="M26" s="193">
        <f t="shared" ref="M26:M28" si="12">M25</f>
        <v>5</v>
      </c>
      <c r="N26" s="168" t="s">
        <v>329</v>
      </c>
    </row>
    <row r="27" spans="1:14" x14ac:dyDescent="0.2">
      <c r="A27" s="184"/>
      <c r="B27" s="233" t="s">
        <v>370</v>
      </c>
      <c r="C27" s="187">
        <f>(G27/M27)/12*Aantal_maanden_BKJ1</f>
        <v>0</v>
      </c>
      <c r="D27" s="187">
        <f t="shared" si="10"/>
        <v>0</v>
      </c>
      <c r="E27" s="187">
        <f t="shared" si="11"/>
        <v>0</v>
      </c>
      <c r="F27" s="188"/>
      <c r="G27" s="190"/>
      <c r="H27" s="190"/>
      <c r="I27" s="190">
        <v>0</v>
      </c>
      <c r="J27" s="192" t="s">
        <v>327</v>
      </c>
      <c r="K27" s="188"/>
      <c r="L27" s="188" t="s">
        <v>328</v>
      </c>
      <c r="M27" s="193">
        <f t="shared" si="12"/>
        <v>5</v>
      </c>
      <c r="N27" s="168" t="s">
        <v>329</v>
      </c>
    </row>
    <row r="28" spans="1:14" x14ac:dyDescent="0.2">
      <c r="A28" s="184"/>
      <c r="B28" s="233" t="s">
        <v>371</v>
      </c>
      <c r="C28" s="187">
        <f>(G28/M28)/12*Aantal_maanden_BKJ1</f>
        <v>0</v>
      </c>
      <c r="D28" s="187">
        <f t="shared" si="10"/>
        <v>0</v>
      </c>
      <c r="E28" s="187">
        <f t="shared" si="11"/>
        <v>0</v>
      </c>
      <c r="F28" s="188"/>
      <c r="G28" s="190"/>
      <c r="H28" s="190"/>
      <c r="I28" s="190"/>
      <c r="J28" s="192" t="s">
        <v>327</v>
      </c>
      <c r="K28" s="188"/>
      <c r="L28" s="188" t="s">
        <v>328</v>
      </c>
      <c r="M28" s="193">
        <f t="shared" si="12"/>
        <v>5</v>
      </c>
      <c r="N28" s="168" t="s">
        <v>329</v>
      </c>
    </row>
    <row r="29" spans="1:14" x14ac:dyDescent="0.2">
      <c r="A29" s="184"/>
      <c r="B29" s="185"/>
      <c r="C29" s="187"/>
      <c r="D29" s="187"/>
      <c r="E29" s="187"/>
      <c r="F29" s="188"/>
      <c r="G29" s="197"/>
      <c r="H29" s="197"/>
      <c r="I29" s="197"/>
      <c r="J29" s="192"/>
      <c r="K29" s="188"/>
      <c r="L29" s="188"/>
      <c r="M29" s="193"/>
      <c r="N29" s="168"/>
    </row>
    <row r="30" spans="1:14" x14ac:dyDescent="0.2">
      <c r="A30" s="184"/>
      <c r="B30" s="194" t="s">
        <v>337</v>
      </c>
      <c r="C30" s="195">
        <f>SUM(C31:C37)</f>
        <v>1555.5555555555554</v>
      </c>
      <c r="D30" s="195">
        <f t="shared" ref="D30:E30" si="13">SUM(D31:D37)</f>
        <v>1333.3333333333333</v>
      </c>
      <c r="E30" s="195">
        <f t="shared" si="13"/>
        <v>1333.3333333333333</v>
      </c>
      <c r="F30" s="188"/>
      <c r="G30" s="195">
        <f>SUM(G31:G37)</f>
        <v>4000</v>
      </c>
      <c r="H30" s="195">
        <f t="shared" ref="H30:I30" si="14">SUM(H31:H37)</f>
        <v>0</v>
      </c>
      <c r="I30" s="195">
        <f t="shared" si="14"/>
        <v>0</v>
      </c>
      <c r="J30" s="192"/>
      <c r="K30" s="188"/>
      <c r="L30" s="188"/>
      <c r="M30" s="193"/>
      <c r="N30" s="168"/>
    </row>
    <row r="31" spans="1:14" x14ac:dyDescent="0.2">
      <c r="A31" s="184"/>
      <c r="B31" s="185"/>
      <c r="C31" s="187"/>
      <c r="D31" s="187"/>
      <c r="E31" s="187"/>
      <c r="F31" s="188"/>
      <c r="G31" s="197"/>
      <c r="H31" s="197"/>
      <c r="I31" s="198"/>
      <c r="J31" s="192"/>
      <c r="K31" s="188"/>
      <c r="L31" s="188"/>
      <c r="M31" s="193"/>
      <c r="N31" s="168"/>
    </row>
    <row r="32" spans="1:14" x14ac:dyDescent="0.2">
      <c r="A32" s="184"/>
      <c r="B32" s="233" t="s">
        <v>338</v>
      </c>
      <c r="C32" s="187">
        <f>(G32/M32)/12*Aantal_maanden_BKJ1</f>
        <v>777.77777777777771</v>
      </c>
      <c r="D32" s="187">
        <f>(G32/M32)+(H32/M32)</f>
        <v>666.66666666666663</v>
      </c>
      <c r="E32" s="187">
        <f>(G32/M32)+(H32/M32)+(I32/M32)</f>
        <v>666.66666666666663</v>
      </c>
      <c r="F32" s="188"/>
      <c r="G32" s="190">
        <v>2000</v>
      </c>
      <c r="H32" s="190"/>
      <c r="I32" s="190"/>
      <c r="J32" s="192" t="s">
        <v>327</v>
      </c>
      <c r="K32" s="188"/>
      <c r="L32" s="188" t="s">
        <v>328</v>
      </c>
      <c r="M32" s="193">
        <v>3</v>
      </c>
      <c r="N32" s="168" t="s">
        <v>329</v>
      </c>
    </row>
    <row r="33" spans="1:14" x14ac:dyDescent="0.2">
      <c r="A33" s="184"/>
      <c r="B33" s="233" t="s">
        <v>339</v>
      </c>
      <c r="C33" s="187">
        <f>(G33/M33)/12*Aantal_maanden_BKJ1</f>
        <v>777.77777777777771</v>
      </c>
      <c r="D33" s="187">
        <f t="shared" ref="D33:D36" si="15">(G33/M33)+(H33/M33)</f>
        <v>666.66666666666663</v>
      </c>
      <c r="E33" s="187">
        <f t="shared" ref="E33:E36" si="16">(G33/M33)+(H33/M33)+(I33/M33)</f>
        <v>666.66666666666663</v>
      </c>
      <c r="F33" s="188"/>
      <c r="G33" s="190">
        <v>2000</v>
      </c>
      <c r="H33" s="190"/>
      <c r="I33" s="190"/>
      <c r="J33" s="192" t="s">
        <v>327</v>
      </c>
      <c r="K33" s="188"/>
      <c r="L33" s="188" t="s">
        <v>328</v>
      </c>
      <c r="M33" s="193">
        <f>M32</f>
        <v>3</v>
      </c>
      <c r="N33" s="168" t="s">
        <v>329</v>
      </c>
    </row>
    <row r="34" spans="1:14" x14ac:dyDescent="0.2">
      <c r="A34" s="184"/>
      <c r="B34" s="233" t="s">
        <v>340</v>
      </c>
      <c r="C34" s="187">
        <f>(G34/M34)/12*Aantal_maanden_BKJ1</f>
        <v>0</v>
      </c>
      <c r="D34" s="187">
        <f t="shared" si="15"/>
        <v>0</v>
      </c>
      <c r="E34" s="187">
        <f t="shared" si="16"/>
        <v>0</v>
      </c>
      <c r="F34" s="188"/>
      <c r="G34" s="190"/>
      <c r="H34" s="190"/>
      <c r="I34" s="190"/>
      <c r="J34" s="192" t="s">
        <v>327</v>
      </c>
      <c r="K34" s="188"/>
      <c r="L34" s="188" t="s">
        <v>328</v>
      </c>
      <c r="M34" s="193">
        <f t="shared" ref="M34:M36" si="17">M33</f>
        <v>3</v>
      </c>
      <c r="N34" s="168" t="s">
        <v>329</v>
      </c>
    </row>
    <row r="35" spans="1:14" x14ac:dyDescent="0.2">
      <c r="A35" s="184"/>
      <c r="B35" s="233" t="s">
        <v>372</v>
      </c>
      <c r="C35" s="187">
        <f>(G35/M35)/12*Aantal_maanden_BKJ1</f>
        <v>0</v>
      </c>
      <c r="D35" s="187">
        <f t="shared" si="15"/>
        <v>0</v>
      </c>
      <c r="E35" s="187">
        <f t="shared" si="16"/>
        <v>0</v>
      </c>
      <c r="F35" s="188"/>
      <c r="G35" s="190"/>
      <c r="H35" s="190"/>
      <c r="I35" s="190">
        <v>0</v>
      </c>
      <c r="J35" s="192" t="s">
        <v>327</v>
      </c>
      <c r="K35" s="188"/>
      <c r="L35" s="188" t="s">
        <v>328</v>
      </c>
      <c r="M35" s="193">
        <f t="shared" si="17"/>
        <v>3</v>
      </c>
      <c r="N35" s="168" t="s">
        <v>329</v>
      </c>
    </row>
    <row r="36" spans="1:14" x14ac:dyDescent="0.2">
      <c r="A36" s="184"/>
      <c r="B36" s="233" t="s">
        <v>373</v>
      </c>
      <c r="C36" s="187">
        <f>(G36/M36)/12*Aantal_maanden_BKJ1</f>
        <v>0</v>
      </c>
      <c r="D36" s="187">
        <f t="shared" si="15"/>
        <v>0</v>
      </c>
      <c r="E36" s="187">
        <f t="shared" si="16"/>
        <v>0</v>
      </c>
      <c r="F36" s="188"/>
      <c r="G36" s="190"/>
      <c r="H36" s="190"/>
      <c r="I36" s="190"/>
      <c r="J36" s="192" t="s">
        <v>327</v>
      </c>
      <c r="K36" s="188"/>
      <c r="L36" s="188" t="s">
        <v>328</v>
      </c>
      <c r="M36" s="193">
        <f t="shared" si="17"/>
        <v>3</v>
      </c>
      <c r="N36" s="168" t="s">
        <v>329</v>
      </c>
    </row>
    <row r="37" spans="1:14" x14ac:dyDescent="0.2">
      <c r="A37" s="184"/>
      <c r="B37" s="185"/>
      <c r="C37" s="187"/>
      <c r="D37" s="187"/>
      <c r="E37" s="187"/>
      <c r="F37" s="188"/>
      <c r="G37" s="197"/>
      <c r="H37" s="197"/>
      <c r="I37" s="197"/>
      <c r="J37" s="192"/>
      <c r="K37" s="188"/>
      <c r="L37" s="188"/>
      <c r="M37" s="193"/>
      <c r="N37" s="168"/>
    </row>
    <row r="38" spans="1:14" x14ac:dyDescent="0.2">
      <c r="A38" s="184"/>
      <c r="B38" s="194" t="s">
        <v>341</v>
      </c>
      <c r="C38" s="195">
        <f>SUM(C39:C45)</f>
        <v>0</v>
      </c>
      <c r="D38" s="195">
        <f t="shared" ref="D38:E38" si="18">SUM(D39:D45)</f>
        <v>0</v>
      </c>
      <c r="E38" s="195">
        <f t="shared" si="18"/>
        <v>0</v>
      </c>
      <c r="F38" s="188"/>
      <c r="G38" s="195">
        <f>SUM(G39:G45)</f>
        <v>0</v>
      </c>
      <c r="H38" s="195">
        <f t="shared" ref="H38:I38" si="19">SUM(H39:H45)</f>
        <v>0</v>
      </c>
      <c r="I38" s="195">
        <f t="shared" si="19"/>
        <v>0</v>
      </c>
      <c r="J38" s="192"/>
      <c r="K38" s="188"/>
      <c r="L38" s="188"/>
      <c r="M38" s="193"/>
      <c r="N38" s="168"/>
    </row>
    <row r="39" spans="1:14" x14ac:dyDescent="0.2">
      <c r="A39" s="184"/>
      <c r="B39" s="185"/>
      <c r="C39" s="186"/>
      <c r="D39" s="186"/>
      <c r="E39" s="186"/>
      <c r="F39" s="188"/>
      <c r="G39" s="186"/>
      <c r="H39" s="186"/>
      <c r="I39" s="186"/>
      <c r="J39" s="192"/>
      <c r="K39" s="188"/>
      <c r="L39" s="188"/>
      <c r="M39" s="193"/>
      <c r="N39" s="168"/>
    </row>
    <row r="40" spans="1:14" x14ac:dyDescent="0.2">
      <c r="A40" s="184"/>
      <c r="B40" s="233" t="s">
        <v>374</v>
      </c>
      <c r="C40" s="187">
        <f>(G40/M40)/12*Aantal_maanden_BKJ1</f>
        <v>0</v>
      </c>
      <c r="D40" s="187">
        <f>(G40/M40)+(H40/M40)</f>
        <v>0</v>
      </c>
      <c r="E40" s="187">
        <f>(G40/M40)+(H40/M40)+(I40/M40)</f>
        <v>0</v>
      </c>
      <c r="F40" s="188"/>
      <c r="G40" s="190">
        <v>0</v>
      </c>
      <c r="H40" s="190"/>
      <c r="I40" s="190"/>
      <c r="J40" s="192" t="s">
        <v>327</v>
      </c>
      <c r="K40" s="188"/>
      <c r="L40" s="188" t="s">
        <v>328</v>
      </c>
      <c r="M40" s="193">
        <v>5</v>
      </c>
      <c r="N40" s="168" t="s">
        <v>329</v>
      </c>
    </row>
    <row r="41" spans="1:14" x14ac:dyDescent="0.2">
      <c r="A41" s="184"/>
      <c r="B41" s="233" t="s">
        <v>342</v>
      </c>
      <c r="C41" s="187">
        <f>(G41/M41)/12*Aantal_maanden_BKJ1</f>
        <v>0</v>
      </c>
      <c r="D41" s="187">
        <f t="shared" ref="D41:D44" si="20">(G41/M41)+(H41/M41)</f>
        <v>0</v>
      </c>
      <c r="E41" s="187">
        <f t="shared" ref="E41:E44" si="21">(G41/M41)+(H41/M41)+(I41/M41)</f>
        <v>0</v>
      </c>
      <c r="F41" s="188"/>
      <c r="G41" s="190">
        <v>0</v>
      </c>
      <c r="H41" s="190"/>
      <c r="I41" s="190"/>
      <c r="J41" s="192" t="s">
        <v>327</v>
      </c>
      <c r="K41" s="188"/>
      <c r="L41" s="188" t="s">
        <v>328</v>
      </c>
      <c r="M41" s="193">
        <f>M40</f>
        <v>5</v>
      </c>
      <c r="N41" s="168" t="s">
        <v>329</v>
      </c>
    </row>
    <row r="42" spans="1:14" x14ac:dyDescent="0.2">
      <c r="A42" s="184"/>
      <c r="B42" s="233" t="s">
        <v>343</v>
      </c>
      <c r="C42" s="187">
        <f>(G42/M42)/12*Aantal_maanden_BKJ1</f>
        <v>0</v>
      </c>
      <c r="D42" s="187">
        <f t="shared" si="20"/>
        <v>0</v>
      </c>
      <c r="E42" s="187">
        <f t="shared" si="21"/>
        <v>0</v>
      </c>
      <c r="F42" s="188"/>
      <c r="G42" s="190"/>
      <c r="H42" s="190"/>
      <c r="I42" s="190"/>
      <c r="J42" s="192" t="s">
        <v>327</v>
      </c>
      <c r="K42" s="188"/>
      <c r="L42" s="188" t="s">
        <v>328</v>
      </c>
      <c r="M42" s="193">
        <f t="shared" ref="M42" si="22">M41</f>
        <v>5</v>
      </c>
      <c r="N42" s="168" t="s">
        <v>329</v>
      </c>
    </row>
    <row r="43" spans="1:14" x14ac:dyDescent="0.2">
      <c r="A43" s="184"/>
      <c r="B43" s="233" t="s">
        <v>375</v>
      </c>
      <c r="C43" s="187">
        <f>(G43/M43)/12*Aantal_maanden_BKJ1</f>
        <v>0</v>
      </c>
      <c r="D43" s="187">
        <f t="shared" si="20"/>
        <v>0</v>
      </c>
      <c r="E43" s="187">
        <f t="shared" si="21"/>
        <v>0</v>
      </c>
      <c r="F43" s="188"/>
      <c r="G43" s="190"/>
      <c r="H43" s="190"/>
      <c r="I43" s="190"/>
      <c r="J43" s="192" t="s">
        <v>327</v>
      </c>
      <c r="K43" s="188"/>
      <c r="L43" s="188" t="s">
        <v>328</v>
      </c>
      <c r="M43" s="193">
        <f t="shared" ref="M43" si="23">M42</f>
        <v>5</v>
      </c>
      <c r="N43" s="168" t="s">
        <v>329</v>
      </c>
    </row>
    <row r="44" spans="1:14" x14ac:dyDescent="0.2">
      <c r="A44" s="184"/>
      <c r="B44" s="233" t="s">
        <v>376</v>
      </c>
      <c r="C44" s="187">
        <f>(G44/M44)/12*Aantal_maanden_BKJ1</f>
        <v>0</v>
      </c>
      <c r="D44" s="187">
        <f t="shared" si="20"/>
        <v>0</v>
      </c>
      <c r="E44" s="187">
        <f t="shared" si="21"/>
        <v>0</v>
      </c>
      <c r="F44" s="188"/>
      <c r="G44" s="190"/>
      <c r="H44" s="190"/>
      <c r="I44" s="190"/>
      <c r="J44" s="192" t="s">
        <v>327</v>
      </c>
      <c r="K44" s="188"/>
      <c r="L44" s="188" t="s">
        <v>328</v>
      </c>
      <c r="M44" s="193">
        <f>M42</f>
        <v>5</v>
      </c>
      <c r="N44" s="168" t="s">
        <v>329</v>
      </c>
    </row>
    <row r="45" spans="1:14" x14ac:dyDescent="0.2">
      <c r="A45" s="184"/>
      <c r="B45" s="185"/>
      <c r="C45" s="187"/>
      <c r="D45" s="187"/>
      <c r="E45" s="187"/>
      <c r="F45" s="188"/>
      <c r="G45" s="199"/>
      <c r="H45" s="199"/>
      <c r="I45" s="199"/>
      <c r="J45" s="192"/>
      <c r="K45" s="188"/>
      <c r="L45" s="188"/>
      <c r="M45" s="193"/>
      <c r="N45" s="168"/>
    </row>
    <row r="46" spans="1:14" x14ac:dyDescent="0.2">
      <c r="A46" s="184"/>
      <c r="B46" s="194" t="s">
        <v>344</v>
      </c>
      <c r="C46" s="195">
        <f>SUM(C47:C53)</f>
        <v>933.33333333333337</v>
      </c>
      <c r="D46" s="195">
        <f t="shared" ref="D46" si="24">SUM(D47:D53)</f>
        <v>800</v>
      </c>
      <c r="E46" s="195">
        <f t="shared" ref="E46" si="25">SUM(E47:E53)</f>
        <v>800</v>
      </c>
      <c r="F46" s="188"/>
      <c r="G46" s="195">
        <f>SUM(G47:G53)</f>
        <v>4000</v>
      </c>
      <c r="H46" s="195">
        <f t="shared" ref="H46" si="26">SUM(H47:H53)</f>
        <v>0</v>
      </c>
      <c r="I46" s="195">
        <f t="shared" ref="I46" si="27">SUM(I47:I53)</f>
        <v>0</v>
      </c>
      <c r="J46" s="192"/>
      <c r="K46" s="188"/>
      <c r="L46" s="188"/>
      <c r="M46" s="193"/>
      <c r="N46" s="168"/>
    </row>
    <row r="47" spans="1:14" x14ac:dyDescent="0.2">
      <c r="A47" s="184"/>
      <c r="B47" s="185"/>
      <c r="C47" s="186"/>
      <c r="D47" s="186"/>
      <c r="E47" s="186"/>
      <c r="F47" s="188"/>
      <c r="G47" s="186"/>
      <c r="H47" s="186"/>
      <c r="I47" s="186"/>
      <c r="J47" s="192"/>
      <c r="K47" s="188"/>
      <c r="L47" s="188"/>
      <c r="M47" s="193"/>
      <c r="N47" s="168"/>
    </row>
    <row r="48" spans="1:14" x14ac:dyDescent="0.2">
      <c r="A48" s="184"/>
      <c r="B48" s="233" t="s">
        <v>345</v>
      </c>
      <c r="C48" s="187">
        <f>(G48/M48)/12*Aantal_maanden_BKJ1</f>
        <v>466.66666666666669</v>
      </c>
      <c r="D48" s="187">
        <f>(G48/M48)+(H48/M48)</f>
        <v>400</v>
      </c>
      <c r="E48" s="187">
        <f>(G48/M48)+(H48/M48)+(I48/M48)</f>
        <v>400</v>
      </c>
      <c r="F48" s="188"/>
      <c r="G48" s="190">
        <v>2000</v>
      </c>
      <c r="H48" s="190"/>
      <c r="I48" s="190"/>
      <c r="J48" s="192" t="s">
        <v>327</v>
      </c>
      <c r="K48" s="188"/>
      <c r="L48" s="188" t="s">
        <v>328</v>
      </c>
      <c r="M48" s="193">
        <v>5</v>
      </c>
      <c r="N48" s="168" t="s">
        <v>329</v>
      </c>
    </row>
    <row r="49" spans="1:14" x14ac:dyDescent="0.2">
      <c r="A49" s="184"/>
      <c r="B49" s="233" t="s">
        <v>346</v>
      </c>
      <c r="C49" s="187">
        <f>(G49/M49)/12*Aantal_maanden_BKJ1</f>
        <v>466.66666666666669</v>
      </c>
      <c r="D49" s="187">
        <f t="shared" ref="D49:D52" si="28">(G49/M49)+(H49/M49)</f>
        <v>400</v>
      </c>
      <c r="E49" s="187">
        <f t="shared" ref="E49:E52" si="29">(G49/M49)+(H49/M49)+(I49/M49)</f>
        <v>400</v>
      </c>
      <c r="F49" s="188"/>
      <c r="G49" s="190">
        <v>2000</v>
      </c>
      <c r="H49" s="190"/>
      <c r="I49" s="190"/>
      <c r="J49" s="192" t="s">
        <v>327</v>
      </c>
      <c r="K49" s="188"/>
      <c r="L49" s="188" t="s">
        <v>328</v>
      </c>
      <c r="M49" s="193">
        <f>M48</f>
        <v>5</v>
      </c>
      <c r="N49" s="168" t="s">
        <v>329</v>
      </c>
    </row>
    <row r="50" spans="1:14" x14ac:dyDescent="0.2">
      <c r="A50" s="184"/>
      <c r="B50" s="233" t="s">
        <v>347</v>
      </c>
      <c r="C50" s="187">
        <f>(G50/M50)/12*Aantal_maanden_BKJ1</f>
        <v>0</v>
      </c>
      <c r="D50" s="187">
        <f t="shared" si="28"/>
        <v>0</v>
      </c>
      <c r="E50" s="187">
        <f t="shared" si="29"/>
        <v>0</v>
      </c>
      <c r="F50" s="188"/>
      <c r="G50" s="190"/>
      <c r="H50" s="190"/>
      <c r="I50" s="190"/>
      <c r="J50" s="192" t="s">
        <v>327</v>
      </c>
      <c r="K50" s="188"/>
      <c r="L50" s="188" t="s">
        <v>328</v>
      </c>
      <c r="M50" s="193">
        <f t="shared" ref="M50:M51" si="30">M49</f>
        <v>5</v>
      </c>
      <c r="N50" s="168" t="s">
        <v>329</v>
      </c>
    </row>
    <row r="51" spans="1:14" x14ac:dyDescent="0.2">
      <c r="A51" s="184"/>
      <c r="B51" s="233" t="s">
        <v>377</v>
      </c>
      <c r="C51" s="187">
        <f>(G51/M51)/12*Aantal_maanden_BKJ1</f>
        <v>0</v>
      </c>
      <c r="D51" s="187">
        <f t="shared" si="28"/>
        <v>0</v>
      </c>
      <c r="E51" s="187">
        <f t="shared" si="29"/>
        <v>0</v>
      </c>
      <c r="F51" s="188"/>
      <c r="G51" s="190"/>
      <c r="H51" s="190"/>
      <c r="I51" s="190"/>
      <c r="J51" s="192" t="s">
        <v>327</v>
      </c>
      <c r="K51" s="188"/>
      <c r="L51" s="188" t="s">
        <v>328</v>
      </c>
      <c r="M51" s="193">
        <f t="shared" si="30"/>
        <v>5</v>
      </c>
      <c r="N51" s="168" t="s">
        <v>329</v>
      </c>
    </row>
    <row r="52" spans="1:14" x14ac:dyDescent="0.2">
      <c r="A52" s="184"/>
      <c r="B52" s="233" t="s">
        <v>378</v>
      </c>
      <c r="C52" s="187">
        <f>(G52/M52)/12*Aantal_maanden_BKJ1</f>
        <v>0</v>
      </c>
      <c r="D52" s="187">
        <f t="shared" si="28"/>
        <v>0</v>
      </c>
      <c r="E52" s="187">
        <f t="shared" si="29"/>
        <v>0</v>
      </c>
      <c r="F52" s="188"/>
      <c r="G52" s="190"/>
      <c r="H52" s="190"/>
      <c r="I52" s="190"/>
      <c r="J52" s="192" t="s">
        <v>327</v>
      </c>
      <c r="K52" s="188"/>
      <c r="L52" s="188" t="s">
        <v>328</v>
      </c>
      <c r="M52" s="193">
        <f>M50</f>
        <v>5</v>
      </c>
      <c r="N52" s="168" t="s">
        <v>329</v>
      </c>
    </row>
    <row r="53" spans="1:14" x14ac:dyDescent="0.2">
      <c r="A53" s="184"/>
      <c r="B53" s="169"/>
      <c r="C53" s="187"/>
      <c r="D53" s="187"/>
      <c r="E53" s="187"/>
      <c r="F53" s="188"/>
      <c r="G53" s="199"/>
      <c r="H53" s="199"/>
      <c r="I53" s="199"/>
      <c r="J53" s="192"/>
      <c r="K53" s="188"/>
      <c r="L53" s="188"/>
      <c r="M53" s="193"/>
      <c r="N53" s="168"/>
    </row>
    <row r="54" spans="1:14" x14ac:dyDescent="0.2">
      <c r="A54" s="184"/>
      <c r="B54" s="194" t="s">
        <v>299</v>
      </c>
      <c r="C54" s="195">
        <f>SUM(C55:C61)</f>
        <v>0</v>
      </c>
      <c r="D54" s="195">
        <f t="shared" ref="D54" si="31">SUM(D55:D61)</f>
        <v>0</v>
      </c>
      <c r="E54" s="195">
        <f t="shared" ref="E54" si="32">SUM(E55:E61)</f>
        <v>0</v>
      </c>
      <c r="F54" s="188"/>
      <c r="G54" s="195">
        <f>SUM(G55:G61)</f>
        <v>0</v>
      </c>
      <c r="H54" s="195">
        <f t="shared" ref="H54" si="33">SUM(H55:H61)</f>
        <v>0</v>
      </c>
      <c r="I54" s="195">
        <f t="shared" ref="I54" si="34">SUM(I55:I61)</f>
        <v>0</v>
      </c>
      <c r="J54" s="192"/>
      <c r="K54" s="188"/>
      <c r="L54" s="188"/>
      <c r="M54" s="193"/>
      <c r="N54" s="168"/>
    </row>
    <row r="55" spans="1:14" x14ac:dyDescent="0.2">
      <c r="A55" s="184"/>
      <c r="B55" s="185"/>
      <c r="C55" s="186"/>
      <c r="D55" s="186"/>
      <c r="E55" s="186"/>
      <c r="F55" s="188"/>
      <c r="G55" s="186"/>
      <c r="H55" s="186"/>
      <c r="I55" s="186"/>
      <c r="J55" s="192"/>
      <c r="K55" s="188"/>
      <c r="L55" s="188"/>
      <c r="M55" s="193"/>
      <c r="N55" s="168"/>
    </row>
    <row r="56" spans="1:14" x14ac:dyDescent="0.2">
      <c r="A56" s="184"/>
      <c r="B56" s="233" t="s">
        <v>348</v>
      </c>
      <c r="C56" s="187">
        <f>(G56/M56)/12*Aantal_maanden_BKJ1</f>
        <v>0</v>
      </c>
      <c r="D56" s="187">
        <f>(G56/M56)+(H56/M56)</f>
        <v>0</v>
      </c>
      <c r="E56" s="187">
        <f>(G56/M56)+(H56/M56)+(I56/M56)</f>
        <v>0</v>
      </c>
      <c r="F56" s="188"/>
      <c r="G56" s="190"/>
      <c r="H56" s="190"/>
      <c r="I56" s="190"/>
      <c r="J56" s="192" t="s">
        <v>327</v>
      </c>
      <c r="K56" s="188"/>
      <c r="L56" s="188" t="s">
        <v>328</v>
      </c>
      <c r="M56" s="193">
        <v>5</v>
      </c>
      <c r="N56" s="168" t="s">
        <v>329</v>
      </c>
    </row>
    <row r="57" spans="1:14" x14ac:dyDescent="0.2">
      <c r="A57" s="184"/>
      <c r="B57" s="233" t="s">
        <v>349</v>
      </c>
      <c r="C57" s="187">
        <f>(G57/M57)/12*Aantal_maanden_BKJ1</f>
        <v>0</v>
      </c>
      <c r="D57" s="187">
        <f t="shared" ref="D57:D60" si="35">(G57/M57)+(H57/M57)</f>
        <v>0</v>
      </c>
      <c r="E57" s="187">
        <f t="shared" ref="E57:E60" si="36">(G57/M57)+(H57/M57)+(I57/M57)</f>
        <v>0</v>
      </c>
      <c r="F57" s="188"/>
      <c r="G57" s="190"/>
      <c r="H57" s="190"/>
      <c r="I57" s="190"/>
      <c r="J57" s="192" t="s">
        <v>327</v>
      </c>
      <c r="K57" s="188"/>
      <c r="L57" s="188" t="s">
        <v>328</v>
      </c>
      <c r="M57" s="193">
        <f>M56</f>
        <v>5</v>
      </c>
      <c r="N57" s="168" t="s">
        <v>329</v>
      </c>
    </row>
    <row r="58" spans="1:14" x14ac:dyDescent="0.2">
      <c r="A58" s="184"/>
      <c r="B58" s="233" t="s">
        <v>379</v>
      </c>
      <c r="C58" s="187">
        <f>(G58/M58)/12*Aantal_maanden_BKJ1</f>
        <v>0</v>
      </c>
      <c r="D58" s="187">
        <f t="shared" si="35"/>
        <v>0</v>
      </c>
      <c r="E58" s="187">
        <f t="shared" si="36"/>
        <v>0</v>
      </c>
      <c r="F58" s="188"/>
      <c r="G58" s="190"/>
      <c r="H58" s="190"/>
      <c r="I58" s="190"/>
      <c r="J58" s="192" t="s">
        <v>327</v>
      </c>
      <c r="K58" s="188"/>
      <c r="L58" s="188" t="s">
        <v>328</v>
      </c>
      <c r="M58" s="193">
        <f t="shared" ref="M58:M59" si="37">M57</f>
        <v>5</v>
      </c>
      <c r="N58" s="168" t="s">
        <v>329</v>
      </c>
    </row>
    <row r="59" spans="1:14" x14ac:dyDescent="0.2">
      <c r="A59" s="184"/>
      <c r="B59" s="233" t="s">
        <v>380</v>
      </c>
      <c r="C59" s="187">
        <f>(G59/M59)/12*Aantal_maanden_BKJ1</f>
        <v>0</v>
      </c>
      <c r="D59" s="187">
        <f t="shared" si="35"/>
        <v>0</v>
      </c>
      <c r="E59" s="187">
        <f t="shared" si="36"/>
        <v>0</v>
      </c>
      <c r="F59" s="188"/>
      <c r="G59" s="190"/>
      <c r="H59" s="190"/>
      <c r="I59" s="190"/>
      <c r="J59" s="192" t="s">
        <v>327</v>
      </c>
      <c r="K59" s="188"/>
      <c r="L59" s="188" t="s">
        <v>328</v>
      </c>
      <c r="M59" s="193">
        <f t="shared" si="37"/>
        <v>5</v>
      </c>
      <c r="N59" s="168" t="s">
        <v>329</v>
      </c>
    </row>
    <row r="60" spans="1:14" x14ac:dyDescent="0.2">
      <c r="A60" s="184"/>
      <c r="B60" s="233" t="s">
        <v>381</v>
      </c>
      <c r="C60" s="187">
        <f>(G60/M60)/12*Aantal_maanden_BKJ1</f>
        <v>0</v>
      </c>
      <c r="D60" s="187">
        <f t="shared" si="35"/>
        <v>0</v>
      </c>
      <c r="E60" s="187">
        <f t="shared" si="36"/>
        <v>0</v>
      </c>
      <c r="F60" s="188"/>
      <c r="G60" s="190"/>
      <c r="H60" s="190"/>
      <c r="I60" s="190">
        <v>0</v>
      </c>
      <c r="J60" s="192" t="s">
        <v>327</v>
      </c>
      <c r="K60" s="188"/>
      <c r="L60" s="188" t="s">
        <v>328</v>
      </c>
      <c r="M60" s="193">
        <f>M58</f>
        <v>5</v>
      </c>
      <c r="N60" s="168" t="s">
        <v>329</v>
      </c>
    </row>
    <row r="61" spans="1:14" x14ac:dyDescent="0.2">
      <c r="A61" s="184"/>
      <c r="B61" s="169"/>
      <c r="C61" s="187"/>
      <c r="D61" s="187"/>
      <c r="E61" s="187"/>
      <c r="F61" s="188"/>
      <c r="G61" s="199"/>
      <c r="H61" s="199"/>
      <c r="I61" s="199"/>
      <c r="J61" s="192"/>
      <c r="K61" s="188"/>
      <c r="L61" s="188"/>
      <c r="M61" s="193"/>
      <c r="N61" s="168"/>
    </row>
    <row r="62" spans="1:14" s="207" customFormat="1" x14ac:dyDescent="0.2">
      <c r="A62" s="200"/>
      <c r="B62" s="201" t="s">
        <v>350</v>
      </c>
      <c r="C62" s="202">
        <f>C5+C14+C22+C30+C38+C46+C54</f>
        <v>21841.666666666664</v>
      </c>
      <c r="D62" s="202">
        <f t="shared" ref="D62:E62" si="38">D5+D14+D22+D30+D38+D46+D54</f>
        <v>15550.000000000002</v>
      </c>
      <c r="E62" s="202">
        <f t="shared" si="38"/>
        <v>15550.000000000002</v>
      </c>
      <c r="F62" s="203"/>
      <c r="G62" s="202">
        <f t="shared" ref="G62:I62" si="39">G5+G14+G22+G30+G38+G46+G54</f>
        <v>51950</v>
      </c>
      <c r="H62" s="202">
        <f t="shared" si="39"/>
        <v>0</v>
      </c>
      <c r="I62" s="202">
        <f t="shared" si="39"/>
        <v>0</v>
      </c>
      <c r="J62" s="204"/>
      <c r="K62" s="203"/>
      <c r="L62" s="203"/>
      <c r="M62" s="205"/>
      <c r="N62" s="206"/>
    </row>
  </sheetData>
  <sheetProtection algorithmName="SHA-512" hashValue="67X+XfyRG1HBHl4hyVxJvgNkM1mq32OYZRxZYYTQ2c0/4NSOcbnQRQWQ0Bv9I11bub6MHwKP6AgOYJwfepTB0g==" saltValue="F8dbFI8GDxz5BT8GHk1IDA==" spinCount="100000" sheet="1" objects="1" scenarios="1"/>
  <protectedRanges>
    <protectedRange sqref="B56:B60" name="Bereik13"/>
    <protectedRange sqref="B40:B44" name="Bereik11"/>
    <protectedRange sqref="B24:B28" name="Bereik9"/>
    <protectedRange sqref="G56:I60" name="Bereik7"/>
    <protectedRange sqref="G40:I44" name="Bereik5"/>
    <protectedRange sqref="G24:I28" name="Bereik3"/>
    <protectedRange sqref="G7:G12" name="Bereik1"/>
    <protectedRange sqref="G16:I20" name="Bereik2"/>
    <protectedRange sqref="G32:I36" name="Bereik4"/>
    <protectedRange sqref="G48:I52" name="Bereik6"/>
    <protectedRange sqref="B16:B20" name="Bereik8"/>
    <protectedRange sqref="B32:B36" name="Bereik10"/>
    <protectedRange sqref="B48:B52" name="Bereik12"/>
  </protectedRanges>
  <phoneticPr fontId="19" type="noConversion"/>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4407-E97B-4F1C-9EDC-87D404CA3B63}">
  <dimension ref="A4:E64"/>
  <sheetViews>
    <sheetView workbookViewId="0">
      <selection activeCell="C40" sqref="C40:E40"/>
    </sheetView>
  </sheetViews>
  <sheetFormatPr baseColWidth="10" defaultColWidth="8.83203125" defaultRowHeight="15" x14ac:dyDescent="0.2"/>
  <cols>
    <col min="1" max="1" width="9.1640625" style="179"/>
    <col min="2" max="2" width="26.5" customWidth="1"/>
    <col min="3" max="5" width="16.6640625" customWidth="1"/>
  </cols>
  <sheetData>
    <row r="4" spans="1:5" x14ac:dyDescent="0.2">
      <c r="C4" s="146" t="s">
        <v>229</v>
      </c>
      <c r="D4" s="146" t="s">
        <v>229</v>
      </c>
      <c r="E4" s="146" t="s">
        <v>229</v>
      </c>
    </row>
    <row r="5" spans="1:5" x14ac:dyDescent="0.2">
      <c r="C5" s="148" t="s">
        <v>231</v>
      </c>
      <c r="D5" s="148" t="s">
        <v>319</v>
      </c>
      <c r="E5" s="149" t="s">
        <v>320</v>
      </c>
    </row>
    <row r="7" spans="1:5" x14ac:dyDescent="0.2">
      <c r="A7" s="179">
        <v>60</v>
      </c>
      <c r="B7" t="s">
        <v>385</v>
      </c>
      <c r="C7" s="118" t="e">
        <f>+'Invulblad RR'!#REF!*-1</f>
        <v>#REF!</v>
      </c>
      <c r="D7" s="118" t="e">
        <f>+'Invulblad RR'!#REF!*-1</f>
        <v>#REF!</v>
      </c>
      <c r="E7" s="118" t="e">
        <f>+'Invulblad RR'!#REF!*-1</f>
        <v>#REF!</v>
      </c>
    </row>
    <row r="10" spans="1:5" x14ac:dyDescent="0.2">
      <c r="A10" s="179">
        <v>610</v>
      </c>
      <c r="B10" t="s">
        <v>351</v>
      </c>
      <c r="C10" s="177">
        <f>SUM('Invulblad RR'!C42:C43)*-1</f>
        <v>-21000</v>
      </c>
      <c r="D10" s="177">
        <f>SUM('Invulblad RR'!D42:D43)*-1</f>
        <v>-18360</v>
      </c>
      <c r="E10" s="177">
        <f>SUM('Invulblad RR'!E42:E43)*-1</f>
        <v>-18727.2</v>
      </c>
    </row>
    <row r="11" spans="1:5" x14ac:dyDescent="0.2">
      <c r="C11" s="177"/>
      <c r="D11" s="177"/>
      <c r="E11" s="177"/>
    </row>
    <row r="12" spans="1:5" x14ac:dyDescent="0.2">
      <c r="A12" s="179">
        <v>611</v>
      </c>
      <c r="B12" t="s">
        <v>352</v>
      </c>
      <c r="C12" s="177">
        <f>SUM('Invulblad RR'!C44:C47)*-1</f>
        <v>-1554</v>
      </c>
      <c r="D12" s="177">
        <f>SUM('Invulblad RR'!D44:D47)*-1</f>
        <v>-1358.64</v>
      </c>
      <c r="E12" s="177">
        <f>SUM('Invulblad RR'!E44:E47)*-1</f>
        <v>-1385.8128000000002</v>
      </c>
    </row>
    <row r="13" spans="1:5" x14ac:dyDescent="0.2">
      <c r="C13" s="177"/>
      <c r="D13" s="177"/>
      <c r="E13" s="177"/>
    </row>
    <row r="14" spans="1:5" x14ac:dyDescent="0.2">
      <c r="A14" s="179">
        <v>612</v>
      </c>
      <c r="B14" t="s">
        <v>353</v>
      </c>
      <c r="C14" s="177">
        <f>SUM('Invulblad RR'!C48:C57)*-1</f>
        <v>-10815</v>
      </c>
      <c r="D14" s="177">
        <f>SUM('Invulblad RR'!D48:D57)*-1</f>
        <v>-9455.4</v>
      </c>
      <c r="E14" s="177">
        <f>SUM('Invulblad RR'!E48:E57)*-1</f>
        <v>-9644.5080000000016</v>
      </c>
    </row>
    <row r="15" spans="1:5" x14ac:dyDescent="0.2">
      <c r="C15" s="177"/>
      <c r="D15" s="177"/>
      <c r="E15" s="177"/>
    </row>
    <row r="16" spans="1:5" x14ac:dyDescent="0.2">
      <c r="A16" s="179">
        <v>613</v>
      </c>
      <c r="B16" t="s">
        <v>354</v>
      </c>
      <c r="C16" s="177">
        <f>SUM('Invulblad RR'!C58:C62)*-1</f>
        <v>-2706.6666666666665</v>
      </c>
      <c r="D16" s="177">
        <f>SUM('Invulblad RR'!D58:D62)*-1</f>
        <v>-2366.4</v>
      </c>
      <c r="E16" s="177">
        <f>SUM('Invulblad RR'!E58:E62)*-1</f>
        <v>-2413.7280000000001</v>
      </c>
    </row>
    <row r="17" spans="1:5" x14ac:dyDescent="0.2">
      <c r="C17" s="177"/>
      <c r="D17" s="177"/>
      <c r="E17" s="177"/>
    </row>
    <row r="18" spans="1:5" x14ac:dyDescent="0.2">
      <c r="A18" s="179">
        <v>614</v>
      </c>
      <c r="B18" t="s">
        <v>355</v>
      </c>
      <c r="C18" s="177"/>
      <c r="D18" s="177"/>
      <c r="E18" s="177"/>
    </row>
    <row r="19" spans="1:5" x14ac:dyDescent="0.2">
      <c r="C19" s="177"/>
      <c r="D19" s="177"/>
      <c r="E19" s="177"/>
    </row>
    <row r="20" spans="1:5" x14ac:dyDescent="0.2">
      <c r="A20" s="179">
        <v>615</v>
      </c>
      <c r="B20" t="s">
        <v>356</v>
      </c>
      <c r="C20" s="177">
        <f>SUM('Invulblad RR'!C63:C73)*-1</f>
        <v>-933.33333333333326</v>
      </c>
      <c r="D20" s="177">
        <f>SUM('Invulblad RR'!D63:D73)*-1</f>
        <v>-816</v>
      </c>
      <c r="E20" s="177">
        <f>SUM('Invulblad RR'!E63:E73)*-1</f>
        <v>-832.31999999999994</v>
      </c>
    </row>
    <row r="21" spans="1:5" x14ac:dyDescent="0.2">
      <c r="C21" s="177"/>
      <c r="D21" s="177"/>
      <c r="E21" s="177"/>
    </row>
    <row r="22" spans="1:5" x14ac:dyDescent="0.2">
      <c r="A22" s="179">
        <v>616</v>
      </c>
      <c r="B22" t="s">
        <v>357</v>
      </c>
      <c r="C22" s="177"/>
      <c r="D22" s="177"/>
      <c r="E22" s="177"/>
    </row>
    <row r="23" spans="1:5" x14ac:dyDescent="0.2">
      <c r="C23" s="177"/>
      <c r="D23" s="177"/>
      <c r="E23" s="177"/>
    </row>
    <row r="24" spans="1:5" x14ac:dyDescent="0.2">
      <c r="A24" s="179">
        <v>617</v>
      </c>
      <c r="B24" t="s">
        <v>358</v>
      </c>
      <c r="C24" s="177"/>
      <c r="D24" s="177"/>
      <c r="E24" s="177"/>
    </row>
    <row r="25" spans="1:5" x14ac:dyDescent="0.2">
      <c r="C25" s="177"/>
      <c r="D25" s="177"/>
      <c r="E25" s="177"/>
    </row>
    <row r="26" spans="1:5" x14ac:dyDescent="0.2">
      <c r="B26" t="s">
        <v>359</v>
      </c>
      <c r="C26" s="177">
        <f>SUM(C10:C25)</f>
        <v>-37009</v>
      </c>
      <c r="D26" s="177">
        <f t="shared" ref="D26:E26" si="0">SUM(D10:D25)</f>
        <v>-32356.440000000002</v>
      </c>
      <c r="E26" s="177">
        <f t="shared" si="0"/>
        <v>-33003.568800000001</v>
      </c>
    </row>
    <row r="27" spans="1:5" x14ac:dyDescent="0.2">
      <c r="C27" s="177"/>
      <c r="D27" s="177"/>
      <c r="E27" s="177"/>
    </row>
    <row r="28" spans="1:5" x14ac:dyDescent="0.2">
      <c r="A28" s="179">
        <v>618</v>
      </c>
      <c r="B28" t="s">
        <v>360</v>
      </c>
      <c r="C28" s="177">
        <f>'Invulblad RR'!C75*-1</f>
        <v>0</v>
      </c>
      <c r="D28" s="177">
        <f>'Invulblad RR'!D75*-1</f>
        <v>0</v>
      </c>
      <c r="E28" s="177">
        <f>'Invulblad RR'!E75*-1</f>
        <v>0</v>
      </c>
    </row>
    <row r="29" spans="1:5" x14ac:dyDescent="0.2">
      <c r="C29" s="177"/>
      <c r="D29" s="177"/>
      <c r="E29" s="177"/>
    </row>
    <row r="30" spans="1:5" x14ac:dyDescent="0.2">
      <c r="A30" s="179">
        <v>61</v>
      </c>
      <c r="B30" t="s">
        <v>361</v>
      </c>
      <c r="C30" s="118">
        <f>SUM(C26:C29)</f>
        <v>-37009</v>
      </c>
      <c r="D30" s="118">
        <f t="shared" ref="D30:E30" si="1">SUM(D26:D29)</f>
        <v>-32356.440000000002</v>
      </c>
      <c r="E30" s="118">
        <f t="shared" si="1"/>
        <v>-33003.568800000001</v>
      </c>
    </row>
    <row r="31" spans="1:5" x14ac:dyDescent="0.2">
      <c r="C31" s="113"/>
      <c r="D31" s="113"/>
      <c r="E31" s="113"/>
    </row>
    <row r="32" spans="1:5" x14ac:dyDescent="0.2">
      <c r="A32" s="179">
        <v>620</v>
      </c>
      <c r="B32" t="s">
        <v>362</v>
      </c>
      <c r="C32" s="118">
        <f>'Invulblad RR'!C80*-1</f>
        <v>-31827.25</v>
      </c>
      <c r="D32" s="118">
        <f>'Invulblad RR'!D80*-1</f>
        <v>-25027.47</v>
      </c>
      <c r="E32" s="118">
        <f>'Invulblad RR'!E80*-1</f>
        <v>-25528.019399999997</v>
      </c>
    </row>
    <row r="33" spans="1:5" x14ac:dyDescent="0.2">
      <c r="C33" s="118"/>
      <c r="D33" s="118"/>
      <c r="E33" s="118"/>
    </row>
    <row r="34" spans="1:5" x14ac:dyDescent="0.2">
      <c r="A34" s="179">
        <v>63</v>
      </c>
      <c r="B34" t="s">
        <v>386</v>
      </c>
      <c r="C34" s="118">
        <f>+'Invulblad RR'!C91*-1</f>
        <v>-21841.666666666664</v>
      </c>
      <c r="D34" s="118">
        <f>+'Invulblad RR'!D91*-1</f>
        <v>-15550.000000000002</v>
      </c>
      <c r="E34" s="118">
        <f>+'Invulblad RR'!E91*-1</f>
        <v>-15550.000000000002</v>
      </c>
    </row>
    <row r="35" spans="1:5" x14ac:dyDescent="0.2">
      <c r="C35" s="118"/>
      <c r="D35" s="118"/>
      <c r="E35" s="118"/>
    </row>
    <row r="36" spans="1:5" x14ac:dyDescent="0.2">
      <c r="A36" s="236">
        <v>64</v>
      </c>
      <c r="B36" t="s">
        <v>389</v>
      </c>
      <c r="C36" s="118">
        <f>'Invulblad RR'!C100*-1</f>
        <v>-637.5</v>
      </c>
      <c r="D36" s="118">
        <f>'Invulblad RR'!D100*-1</f>
        <v>-637.5</v>
      </c>
      <c r="E36" s="118">
        <f>'Invulblad RR'!E100*-1</f>
        <v>-637.5</v>
      </c>
    </row>
    <row r="37" spans="1:5" x14ac:dyDescent="0.2">
      <c r="A37" s="236"/>
      <c r="C37" s="118"/>
      <c r="D37" s="118"/>
      <c r="E37" s="118"/>
    </row>
    <row r="38" spans="1:5" x14ac:dyDescent="0.2">
      <c r="A38" s="236">
        <v>65</v>
      </c>
      <c r="B38" t="s">
        <v>115</v>
      </c>
      <c r="C38" s="118">
        <f>'Invulblad RR'!C104*-1</f>
        <v>-898.33333333333326</v>
      </c>
      <c r="D38" s="118">
        <f>'Invulblad RR'!D104*-1</f>
        <v>-707.4</v>
      </c>
      <c r="E38" s="118">
        <f>'Invulblad RR'!E104*-1</f>
        <v>-709.84799999999996</v>
      </c>
    </row>
    <row r="39" spans="1:5" x14ac:dyDescent="0.2">
      <c r="A39" s="236"/>
      <c r="C39" s="118"/>
      <c r="D39" s="118"/>
      <c r="E39" s="118"/>
    </row>
    <row r="40" spans="1:5" x14ac:dyDescent="0.2">
      <c r="A40" s="236">
        <v>66</v>
      </c>
      <c r="B40" t="s">
        <v>307</v>
      </c>
      <c r="C40" s="118">
        <f>'Invulblad RR'!C108*-1</f>
        <v>0</v>
      </c>
      <c r="D40" s="118">
        <f>'Invulblad RR'!D108*-1</f>
        <v>0</v>
      </c>
      <c r="E40" s="118">
        <f>'Invulblad RR'!E108*-1</f>
        <v>0</v>
      </c>
    </row>
    <row r="41" spans="1:5" x14ac:dyDescent="0.2">
      <c r="C41" s="177"/>
      <c r="D41" s="177"/>
      <c r="E41" s="177"/>
    </row>
    <row r="42" spans="1:5" x14ac:dyDescent="0.2">
      <c r="B42" s="237" t="s">
        <v>387</v>
      </c>
      <c r="C42" s="238" t="e">
        <f>+C7+C30+C32+C34+C36</f>
        <v>#REF!</v>
      </c>
      <c r="D42" s="238" t="e">
        <f t="shared" ref="D42:E42" si="2">+D7+D30+D32+D34+D36</f>
        <v>#REF!</v>
      </c>
      <c r="E42" s="239" t="e">
        <f t="shared" si="2"/>
        <v>#REF!</v>
      </c>
    </row>
    <row r="43" spans="1:5" x14ac:dyDescent="0.2">
      <c r="C43" s="177"/>
      <c r="D43" s="177"/>
      <c r="E43" s="177"/>
    </row>
    <row r="44" spans="1:5" x14ac:dyDescent="0.2">
      <c r="C44" s="177"/>
      <c r="D44" s="177"/>
      <c r="E44" s="177"/>
    </row>
    <row r="45" spans="1:5" x14ac:dyDescent="0.2">
      <c r="C45" s="177"/>
      <c r="D45" s="177"/>
      <c r="E45" s="177"/>
    </row>
    <row r="46" spans="1:5" x14ac:dyDescent="0.2">
      <c r="C46" s="177"/>
      <c r="D46" s="177"/>
      <c r="E46" s="177"/>
    </row>
    <row r="47" spans="1:5" x14ac:dyDescent="0.2">
      <c r="C47" s="177"/>
      <c r="D47" s="177"/>
      <c r="E47" s="177"/>
    </row>
    <row r="48" spans="1:5" x14ac:dyDescent="0.2">
      <c r="C48" s="177"/>
      <c r="D48" s="177"/>
      <c r="E48" s="177"/>
    </row>
    <row r="49" spans="3:5" x14ac:dyDescent="0.2">
      <c r="C49" s="177"/>
      <c r="D49" s="177"/>
      <c r="E49" s="177"/>
    </row>
    <row r="50" spans="3:5" x14ac:dyDescent="0.2">
      <c r="C50" s="177"/>
      <c r="D50" s="177"/>
      <c r="E50" s="177"/>
    </row>
    <row r="51" spans="3:5" x14ac:dyDescent="0.2">
      <c r="C51" s="177"/>
      <c r="D51" s="177"/>
      <c r="E51" s="177"/>
    </row>
    <row r="52" spans="3:5" x14ac:dyDescent="0.2">
      <c r="C52" s="177"/>
      <c r="D52" s="177"/>
      <c r="E52" s="177"/>
    </row>
    <row r="53" spans="3:5" x14ac:dyDescent="0.2">
      <c r="C53" s="177"/>
      <c r="D53" s="177"/>
      <c r="E53" s="177"/>
    </row>
    <row r="54" spans="3:5" x14ac:dyDescent="0.2">
      <c r="C54" s="177"/>
      <c r="D54" s="177"/>
      <c r="E54" s="177"/>
    </row>
    <row r="55" spans="3:5" x14ac:dyDescent="0.2">
      <c r="C55" s="177"/>
      <c r="D55" s="177"/>
      <c r="E55" s="177"/>
    </row>
    <row r="56" spans="3:5" x14ac:dyDescent="0.2">
      <c r="C56" s="177"/>
      <c r="D56" s="177"/>
      <c r="E56" s="177"/>
    </row>
    <row r="57" spans="3:5" x14ac:dyDescent="0.2">
      <c r="C57" s="177"/>
      <c r="D57" s="177"/>
      <c r="E57" s="177"/>
    </row>
    <row r="58" spans="3:5" x14ac:dyDescent="0.2">
      <c r="C58" s="177"/>
      <c r="D58" s="177"/>
      <c r="E58" s="177"/>
    </row>
    <row r="59" spans="3:5" x14ac:dyDescent="0.2">
      <c r="C59" s="177"/>
      <c r="D59" s="177"/>
      <c r="E59" s="177"/>
    </row>
    <row r="60" spans="3:5" x14ac:dyDescent="0.2">
      <c r="C60" s="177"/>
      <c r="D60" s="177"/>
      <c r="E60" s="177"/>
    </row>
    <row r="61" spans="3:5" x14ac:dyDescent="0.2">
      <c r="C61" s="177"/>
      <c r="D61" s="177"/>
      <c r="E61" s="177"/>
    </row>
    <row r="62" spans="3:5" x14ac:dyDescent="0.2">
      <c r="C62" s="177"/>
      <c r="D62" s="177"/>
      <c r="E62" s="177"/>
    </row>
    <row r="63" spans="3:5" x14ac:dyDescent="0.2">
      <c r="C63" s="178"/>
      <c r="D63" s="178"/>
      <c r="E63" s="178"/>
    </row>
    <row r="64" spans="3:5" x14ac:dyDescent="0.2">
      <c r="C64" s="178"/>
      <c r="D64" s="178"/>
      <c r="E64" s="178"/>
    </row>
  </sheetData>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0DB5-CBC3-430F-A8A5-F02345442791}">
  <sheetPr>
    <pageSetUpPr fitToPage="1"/>
  </sheetPr>
  <dimension ref="A1:K9"/>
  <sheetViews>
    <sheetView showGridLines="0" showRowColHeaders="0" workbookViewId="0">
      <selection activeCell="B4" sqref="B4:J8"/>
    </sheetView>
  </sheetViews>
  <sheetFormatPr baseColWidth="10" defaultColWidth="8.83203125" defaultRowHeight="15" x14ac:dyDescent="0.2"/>
  <sheetData>
    <row r="1" spans="1:11" ht="16" thickBot="1" x14ac:dyDescent="0.25"/>
    <row r="2" spans="1:11" x14ac:dyDescent="0.2">
      <c r="A2" s="135"/>
      <c r="B2" s="273" t="s">
        <v>363</v>
      </c>
      <c r="C2" s="273"/>
      <c r="D2" s="273"/>
      <c r="E2" s="273"/>
      <c r="F2" s="273"/>
      <c r="G2" s="273"/>
      <c r="H2" s="273"/>
      <c r="I2" s="273"/>
      <c r="J2" s="273"/>
      <c r="K2" s="136"/>
    </row>
    <row r="3" spans="1:11" x14ac:dyDescent="0.2">
      <c r="A3" s="137"/>
      <c r="B3" s="138"/>
      <c r="C3" s="138"/>
      <c r="D3" s="138"/>
      <c r="E3" s="138"/>
      <c r="F3" s="138"/>
      <c r="G3" s="138"/>
      <c r="H3" s="138"/>
      <c r="I3" s="138"/>
      <c r="J3" s="138"/>
      <c r="K3" s="139"/>
    </row>
    <row r="4" spans="1:11" x14ac:dyDescent="0.2">
      <c r="A4" s="137"/>
      <c r="B4" s="274" t="s">
        <v>364</v>
      </c>
      <c r="C4" s="275"/>
      <c r="D4" s="275"/>
      <c r="E4" s="275"/>
      <c r="F4" s="275"/>
      <c r="G4" s="275"/>
      <c r="H4" s="275"/>
      <c r="I4" s="275"/>
      <c r="J4" s="275"/>
      <c r="K4" s="139"/>
    </row>
    <row r="5" spans="1:11" x14ac:dyDescent="0.2">
      <c r="A5" s="137"/>
      <c r="B5" s="274"/>
      <c r="C5" s="275"/>
      <c r="D5" s="275"/>
      <c r="E5" s="275"/>
      <c r="F5" s="275"/>
      <c r="G5" s="275"/>
      <c r="H5" s="275"/>
      <c r="I5" s="275"/>
      <c r="J5" s="275"/>
      <c r="K5" s="139"/>
    </row>
    <row r="6" spans="1:11" x14ac:dyDescent="0.2">
      <c r="A6" s="137"/>
      <c r="B6" s="274"/>
      <c r="C6" s="275"/>
      <c r="D6" s="275"/>
      <c r="E6" s="275"/>
      <c r="F6" s="275"/>
      <c r="G6" s="275"/>
      <c r="H6" s="275"/>
      <c r="I6" s="275"/>
      <c r="J6" s="275"/>
      <c r="K6" s="139"/>
    </row>
    <row r="7" spans="1:11" x14ac:dyDescent="0.2">
      <c r="A7" s="137"/>
      <c r="B7" s="275"/>
      <c r="C7" s="275"/>
      <c r="D7" s="275"/>
      <c r="E7" s="275"/>
      <c r="F7" s="275"/>
      <c r="G7" s="275"/>
      <c r="H7" s="275"/>
      <c r="I7" s="275"/>
      <c r="J7" s="275"/>
      <c r="K7" s="139"/>
    </row>
    <row r="8" spans="1:11" x14ac:dyDescent="0.2">
      <c r="A8" s="137"/>
      <c r="B8" s="275"/>
      <c r="C8" s="275"/>
      <c r="D8" s="275"/>
      <c r="E8" s="275"/>
      <c r="F8" s="275"/>
      <c r="G8" s="275"/>
      <c r="H8" s="275"/>
      <c r="I8" s="275"/>
      <c r="J8" s="275"/>
      <c r="K8" s="139"/>
    </row>
    <row r="9" spans="1:11" ht="16" thickBot="1" x14ac:dyDescent="0.25">
      <c r="A9" s="140"/>
      <c r="B9" s="141"/>
      <c r="C9" s="141"/>
      <c r="D9" s="141"/>
      <c r="E9" s="141"/>
      <c r="F9" s="141"/>
      <c r="G9" s="141"/>
      <c r="H9" s="141"/>
      <c r="I9" s="141"/>
      <c r="J9" s="141"/>
      <c r="K9" s="142"/>
    </row>
  </sheetData>
  <sheetProtection algorithmName="SHA-512" hashValue="ZfGflKVrtr3/tdQ87vE595SdwTRT2VSkVHYtnFpBsYp25dYFFMTYnX3Z8p+dM9HFe0SZPUgfxXHkguDfl24Sog==" saltValue="DTEshDH0Ol844ZqcLLzEBw==" spinCount="100000" sheet="1" objects="1" scenarios="1"/>
  <mergeCells count="2">
    <mergeCell ref="B2:J2"/>
    <mergeCell ref="B4:J8"/>
  </mergeCells>
  <pageMargins left="0.7" right="0.7" top="0.75" bottom="0.75" header="0.3" footer="0.3"/>
  <pageSetup paperSize="9" scale="88"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951F9B2861F14C98B9DAD5DD83B5FB" ma:contentTypeVersion="11" ma:contentTypeDescription="Een nieuw document maken." ma:contentTypeScope="" ma:versionID="d40e30d9e6fcbf9088c875c50e9dc069">
  <xsd:schema xmlns:xsd="http://www.w3.org/2001/XMLSchema" xmlns:xs="http://www.w3.org/2001/XMLSchema" xmlns:p="http://schemas.microsoft.com/office/2006/metadata/properties" xmlns:ns2="bb3a4504-30d7-4c3e-a355-761291a0a5bc" targetNamespace="http://schemas.microsoft.com/office/2006/metadata/properties" ma:root="true" ma:fieldsID="ab72744e59492754633ec21317567253" ns2:_="">
    <xsd:import namespace="bb3a4504-30d7-4c3e-a355-761291a0a5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a4504-30d7-4c3e-a355-761291a0a5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59AE27-55B6-4FBD-821D-C151F2D15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a4504-30d7-4c3e-a355-761291a0a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1DA6D-32FB-475B-A8F7-A3C40F17AD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EB86BED-D13A-438F-9DE8-FAABB0CCE8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7</vt:i4>
      </vt:variant>
      <vt:variant>
        <vt:lpstr>Benoemde bereiken</vt:lpstr>
      </vt:variant>
      <vt:variant>
        <vt:i4>110</vt:i4>
      </vt:variant>
    </vt:vector>
  </HeadingPairs>
  <TitlesOfParts>
    <vt:vector size="117" baseType="lpstr">
      <vt:lpstr>Uitkeringstesten</vt:lpstr>
      <vt:lpstr>Financieel plan</vt:lpstr>
      <vt:lpstr>Invulblad RR</vt:lpstr>
      <vt:lpstr>Inbreng</vt:lpstr>
      <vt:lpstr>Investeringen</vt:lpstr>
      <vt:lpstr>Samenvatting</vt:lpstr>
      <vt:lpstr>DISCLAIMER</vt:lpstr>
      <vt:lpstr>Aantal_maanden_BKJ1</vt:lpstr>
      <vt:lpstr>'Financieel plan'!Afdrukbereik</vt:lpstr>
      <vt:lpstr>'Financieel plan'!Afdruktitels</vt:lpstr>
      <vt:lpstr>Afs_InstalMachUitr_J1</vt:lpstr>
      <vt:lpstr>Afs_InstaMachUitr_J2</vt:lpstr>
      <vt:lpstr>Afs_IVA_J1</vt:lpstr>
      <vt:lpstr>Afs_IVA_J2</vt:lpstr>
      <vt:lpstr>Afs_Leasing_J1</vt:lpstr>
      <vt:lpstr>Afs_Leasing_J2</vt:lpstr>
      <vt:lpstr>Afs_MeubRol_J1</vt:lpstr>
      <vt:lpstr>Afs_MeubRol_J2</vt:lpstr>
      <vt:lpstr>Afs_MVA_J1</vt:lpstr>
      <vt:lpstr>Afs_MVA_J2</vt:lpstr>
      <vt:lpstr>Afs_OK_J1</vt:lpstr>
      <vt:lpstr>Afs_OK_J2</vt:lpstr>
      <vt:lpstr>Afs_TerGeb_J1</vt:lpstr>
      <vt:lpstr>Afs_TerGeb_J2</vt:lpstr>
      <vt:lpstr>Afs_Tot_J1</vt:lpstr>
      <vt:lpstr>Afs_Tot_J2</vt:lpstr>
      <vt:lpstr>ALening_Kort_Aflos_J1</vt:lpstr>
      <vt:lpstr>ALening_Kort_Aflos_J2</vt:lpstr>
      <vt:lpstr>ALening_Kort_J1</vt:lpstr>
      <vt:lpstr>ALening_Kort_J2</vt:lpstr>
      <vt:lpstr>ALening_Kort_Nieuw_J1</vt:lpstr>
      <vt:lpstr>ALening_Kort_Nieuw_J2</vt:lpstr>
      <vt:lpstr>ALening_Lang_J1</vt:lpstr>
      <vt:lpstr>ALening_Lang_J2</vt:lpstr>
      <vt:lpstr>ALening_Lang_Nieuw_J1</vt:lpstr>
      <vt:lpstr>Alening_Lang_Nieuw_J2</vt:lpstr>
      <vt:lpstr>Boekjaar_2</vt:lpstr>
      <vt:lpstr>CashFlow_J1</vt:lpstr>
      <vt:lpstr>CashFlow_J2</vt:lpstr>
      <vt:lpstr>CP_Totaal_inbreng_Bkj1</vt:lpstr>
      <vt:lpstr>EBIT_J1</vt:lpstr>
      <vt:lpstr>EBIT_J2</vt:lpstr>
      <vt:lpstr>Eind_Voorraad_J0</vt:lpstr>
      <vt:lpstr>Eind_Voorraad_J1</vt:lpstr>
      <vt:lpstr>Eind_Voorraad_J2</vt:lpstr>
      <vt:lpstr>Fin_Bron_Kort</vt:lpstr>
      <vt:lpstr>Fin_Bron_Lang</vt:lpstr>
      <vt:lpstr>Fin_Bron_Tot</vt:lpstr>
      <vt:lpstr>FinKost_J1</vt:lpstr>
      <vt:lpstr>FinKost_J2</vt:lpstr>
      <vt:lpstr>FinOpbr_J1</vt:lpstr>
      <vt:lpstr>FinOpbr_J2</vt:lpstr>
      <vt:lpstr>Inbr_Geld</vt:lpstr>
      <vt:lpstr>Inbr_InstalMachUitr</vt:lpstr>
      <vt:lpstr>Inbr_IVA</vt:lpstr>
      <vt:lpstr>Inbr_Klanten</vt:lpstr>
      <vt:lpstr>Inbr_Leasing</vt:lpstr>
      <vt:lpstr>Inbr_Lening_Kort</vt:lpstr>
      <vt:lpstr>Inbr_Lening_lang</vt:lpstr>
      <vt:lpstr>Inbr_Leveranciers</vt:lpstr>
      <vt:lpstr>Inbr_MeubRol</vt:lpstr>
      <vt:lpstr>Inbr_MVA</vt:lpstr>
      <vt:lpstr>Inbr_Natura_Netto</vt:lpstr>
      <vt:lpstr>Inbr_Overige_Vord</vt:lpstr>
      <vt:lpstr>Inbr_TerGeb</vt:lpstr>
      <vt:lpstr>Inbr_Voorraad</vt:lpstr>
      <vt:lpstr>Inv_IstalMachUitr_J1</vt:lpstr>
      <vt:lpstr>Inv_IstalMachUitr_J2</vt:lpstr>
      <vt:lpstr>Inv_IVA_J1</vt:lpstr>
      <vt:lpstr>Inv_IVA_J2</vt:lpstr>
      <vt:lpstr>Inv_Leasing_J1</vt:lpstr>
      <vt:lpstr>Inv_Leasing_J2</vt:lpstr>
      <vt:lpstr>Inv_MeubRol_J1</vt:lpstr>
      <vt:lpstr>Inv_MeubRol_J2</vt:lpstr>
      <vt:lpstr>Inv_MVA_J1</vt:lpstr>
      <vt:lpstr>Inv_MVA_J2</vt:lpstr>
      <vt:lpstr>Inv_OK_J1</vt:lpstr>
      <vt:lpstr>Inv_TerGeb_J1</vt:lpstr>
      <vt:lpstr>Inv_TerGeb_J2</vt:lpstr>
      <vt:lpstr>Inv_Tot_J0</vt:lpstr>
      <vt:lpstr>Inv_Tot_J1</vt:lpstr>
      <vt:lpstr>Inv_Tot_J2</vt:lpstr>
      <vt:lpstr>Klanten_J0</vt:lpstr>
      <vt:lpstr>Klanten_J1</vt:lpstr>
      <vt:lpstr>Klanten_J2</vt:lpstr>
      <vt:lpstr>Lengte_BKJ1</vt:lpstr>
      <vt:lpstr>Lengte_Boekjaar</vt:lpstr>
      <vt:lpstr>Lening_Kort_Aflos_J1</vt:lpstr>
      <vt:lpstr>Lening_Kort_Aflos_J2</vt:lpstr>
      <vt:lpstr>Lening_Kort_J1</vt:lpstr>
      <vt:lpstr>Lening_Kort_J2</vt:lpstr>
      <vt:lpstr>Lening_Kort_Nieuw_J1</vt:lpstr>
      <vt:lpstr>Lening_Kort_Nieuw_J2</vt:lpstr>
      <vt:lpstr>Lening_Lang_J1</vt:lpstr>
      <vt:lpstr>Lening_Lang_J2</vt:lpstr>
      <vt:lpstr>Lening_Lang_Nieuw_J1</vt:lpstr>
      <vt:lpstr>Lening_Lang_Nieuw_J2</vt:lpstr>
      <vt:lpstr>Leveranciers_J0</vt:lpstr>
      <vt:lpstr>Leveranciers_J1</vt:lpstr>
      <vt:lpstr>Leveranciers_J2</vt:lpstr>
      <vt:lpstr>LiqMid_J0</vt:lpstr>
      <vt:lpstr>LiqMid_J1</vt:lpstr>
      <vt:lpstr>LiqMid_J2</vt:lpstr>
      <vt:lpstr>OVord_J0</vt:lpstr>
      <vt:lpstr>OVord_J1</vt:lpstr>
      <vt:lpstr>OVord_J2</vt:lpstr>
      <vt:lpstr>SocFisc_Schuld_J0</vt:lpstr>
      <vt:lpstr>SocFisc_SChuld_J1</vt:lpstr>
      <vt:lpstr>SocFisc_Schuld_J2</vt:lpstr>
      <vt:lpstr>Tot_Act_J0</vt:lpstr>
      <vt:lpstr>Tot_Act_J1</vt:lpstr>
      <vt:lpstr>Tot_Act_J2</vt:lpstr>
      <vt:lpstr>Tot_Pas_J0</vt:lpstr>
      <vt:lpstr>Tot_Pas_J1</vt:lpstr>
      <vt:lpstr>Tot_Pas_J2</vt:lpstr>
      <vt:lpstr>VenB_J1</vt:lpstr>
      <vt:lpstr>VenB_J2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Galloo</dc:creator>
  <cp:keywords/>
  <dc:description/>
  <cp:lastModifiedBy>Peter terryn</cp:lastModifiedBy>
  <cp:revision/>
  <dcterms:created xsi:type="dcterms:W3CDTF">2011-12-18T13:09:31Z</dcterms:created>
  <dcterms:modified xsi:type="dcterms:W3CDTF">2021-10-27T09:25:37Z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0x010100C4951F9B2861F14C98B9DAD5DD83B5FB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